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Č\Desktop\"/>
    </mc:Choice>
  </mc:AlternateContent>
  <xr:revisionPtr revIDLastSave="0" documentId="13_ncr:1_{210502DF-C8EA-45F2-96BB-1CD76D57C0F3}" xr6:coauthVersionLast="47" xr6:coauthVersionMax="47" xr10:uidLastSave="{00000000-0000-0000-0000-000000000000}"/>
  <bookViews>
    <workbookView xWindow="-105" yWindow="15" windowWidth="22275" windowHeight="20625" firstSheet="3" activeTab="5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91029" fullPrecision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7" l="1"/>
  <c r="I64" i="7"/>
  <c r="I13" i="7"/>
  <c r="I21" i="7"/>
  <c r="I68" i="7"/>
  <c r="I69" i="7"/>
  <c r="I70" i="7"/>
  <c r="I72" i="7"/>
  <c r="I73" i="7"/>
  <c r="I75" i="7"/>
  <c r="I77" i="7"/>
  <c r="I78" i="7"/>
  <c r="I79" i="7"/>
  <c r="I87" i="7"/>
  <c r="I88" i="7"/>
  <c r="I89" i="7"/>
  <c r="I90" i="7"/>
  <c r="I91" i="7"/>
  <c r="H40" i="7"/>
  <c r="I40" i="7" s="1"/>
  <c r="H21" i="7"/>
  <c r="H65" i="7"/>
  <c r="H55" i="7"/>
  <c r="I55" i="7" s="1"/>
  <c r="H48" i="7"/>
  <c r="I48" i="7" s="1"/>
  <c r="H80" i="7"/>
  <c r="F21" i="7"/>
  <c r="F48" i="7"/>
  <c r="F55" i="7"/>
  <c r="F80" i="7"/>
  <c r="F9" i="7"/>
  <c r="G80" i="7"/>
  <c r="I80" i="7" s="1"/>
  <c r="G55" i="7"/>
  <c r="G48" i="7"/>
  <c r="G21" i="7"/>
  <c r="H14" i="7"/>
  <c r="I14" i="7" s="1"/>
  <c r="H12" i="7"/>
  <c r="I12" i="7" s="1"/>
  <c r="G11" i="7"/>
  <c r="I11" i="7" s="1"/>
  <c r="G10" i="7"/>
  <c r="I10" i="7" s="1"/>
  <c r="H9" i="7" l="1"/>
  <c r="I9" i="7" s="1"/>
  <c r="G9" i="7"/>
  <c r="E8" i="11" l="1"/>
  <c r="D8" i="11"/>
  <c r="D7" i="11" s="1"/>
  <c r="C8" i="11"/>
  <c r="C7" i="11" s="1"/>
  <c r="F8" i="11"/>
  <c r="F7" i="11" s="1"/>
  <c r="C9" i="11"/>
  <c r="G9" i="11"/>
  <c r="H9" i="11"/>
  <c r="H8" i="11" l="1"/>
  <c r="E7" i="11"/>
  <c r="H7" i="11" s="1"/>
  <c r="G8" i="11"/>
  <c r="G7" i="11"/>
  <c r="C27" i="8"/>
  <c r="C25" i="8" s="1"/>
  <c r="C24" i="8"/>
  <c r="G24" i="8" s="1"/>
  <c r="C22" i="8"/>
  <c r="G22" i="8" s="1"/>
  <c r="C20" i="8"/>
  <c r="G20" i="8" s="1"/>
  <c r="C15" i="8"/>
  <c r="C13" i="8" s="1"/>
  <c r="C12" i="8"/>
  <c r="C11" i="8" s="1"/>
  <c r="C10" i="8"/>
  <c r="C9" i="8" s="1"/>
  <c r="C8" i="8"/>
  <c r="C7" i="8" s="1"/>
  <c r="F27" i="8"/>
  <c r="F24" i="8"/>
  <c r="H24" i="8" s="1"/>
  <c r="F15" i="8"/>
  <c r="F12" i="8"/>
  <c r="E20" i="8"/>
  <c r="H20" i="8" s="1"/>
  <c r="H27" i="8"/>
  <c r="E22" i="8"/>
  <c r="D16" i="8"/>
  <c r="E16" i="8"/>
  <c r="F16" i="8"/>
  <c r="H16" i="8" s="1"/>
  <c r="D13" i="8"/>
  <c r="E13" i="8"/>
  <c r="D11" i="8"/>
  <c r="E11" i="8"/>
  <c r="E6" i="8" s="1"/>
  <c r="D9" i="8"/>
  <c r="E9" i="8"/>
  <c r="F9" i="8"/>
  <c r="D7" i="8"/>
  <c r="E7" i="8"/>
  <c r="F7" i="8"/>
  <c r="C16" i="8"/>
  <c r="D28" i="8"/>
  <c r="E28" i="8"/>
  <c r="F28" i="8"/>
  <c r="H28" i="8" s="1"/>
  <c r="C28" i="8"/>
  <c r="D23" i="8"/>
  <c r="E23" i="8"/>
  <c r="D21" i="8"/>
  <c r="E21" i="8"/>
  <c r="F21" i="8"/>
  <c r="D19" i="8"/>
  <c r="E19" i="8"/>
  <c r="F19" i="8"/>
  <c r="D25" i="8"/>
  <c r="E25" i="8"/>
  <c r="H8" i="8"/>
  <c r="G10" i="8"/>
  <c r="H10" i="8"/>
  <c r="G14" i="8"/>
  <c r="H14" i="8"/>
  <c r="G17" i="8"/>
  <c r="H17" i="8"/>
  <c r="H22" i="8"/>
  <c r="G26" i="8"/>
  <c r="H26" i="8"/>
  <c r="G29" i="8"/>
  <c r="H29" i="8"/>
  <c r="G27" i="8" l="1"/>
  <c r="C23" i="8"/>
  <c r="C21" i="8"/>
  <c r="C19" i="8"/>
  <c r="G15" i="8"/>
  <c r="G12" i="8"/>
  <c r="G9" i="8"/>
  <c r="G8" i="8"/>
  <c r="F25" i="8"/>
  <c r="G25" i="8" s="1"/>
  <c r="F23" i="8"/>
  <c r="G23" i="8" s="1"/>
  <c r="H23" i="8"/>
  <c r="G19" i="8"/>
  <c r="H19" i="8"/>
  <c r="F18" i="8"/>
  <c r="H15" i="8"/>
  <c r="F13" i="8"/>
  <c r="G13" i="8" s="1"/>
  <c r="F11" i="8"/>
  <c r="G11" i="8" s="1"/>
  <c r="H12" i="8"/>
  <c r="G16" i="8"/>
  <c r="H11" i="8"/>
  <c r="H7" i="8"/>
  <c r="E18" i="8"/>
  <c r="D18" i="8"/>
  <c r="C6" i="8"/>
  <c r="G7" i="8"/>
  <c r="H21" i="8"/>
  <c r="G21" i="8"/>
  <c r="D6" i="8"/>
  <c r="H9" i="8"/>
  <c r="G28" i="8"/>
  <c r="C18" i="8"/>
  <c r="H25" i="8" l="1"/>
  <c r="G18" i="8"/>
  <c r="H18" i="8"/>
  <c r="H13" i="8"/>
  <c r="F6" i="8"/>
  <c r="G6" i="8" s="1"/>
  <c r="H6" i="8" l="1"/>
  <c r="H15" i="1"/>
  <c r="I15" i="1"/>
  <c r="J15" i="1"/>
  <c r="K15" i="1"/>
  <c r="L15" i="1"/>
  <c r="G15" i="1"/>
  <c r="H14" i="1"/>
  <c r="I14" i="1"/>
  <c r="J14" i="1"/>
  <c r="K14" i="1"/>
  <c r="L14" i="1"/>
  <c r="G14" i="1"/>
  <c r="K11" i="1"/>
  <c r="L11" i="1"/>
  <c r="H11" i="1"/>
  <c r="I11" i="1"/>
  <c r="J11" i="1"/>
  <c r="G11" i="1"/>
  <c r="L33" i="3"/>
  <c r="K34" i="3"/>
  <c r="L34" i="3"/>
  <c r="L35" i="3"/>
  <c r="K37" i="3"/>
  <c r="L37" i="3"/>
  <c r="L39" i="3"/>
  <c r="K40" i="3"/>
  <c r="L40" i="3"/>
  <c r="L43" i="3"/>
  <c r="L44" i="3"/>
  <c r="L45" i="3"/>
  <c r="K46" i="3"/>
  <c r="L46" i="3"/>
  <c r="L48" i="3"/>
  <c r="K49" i="3"/>
  <c r="L49" i="3"/>
  <c r="K50" i="3"/>
  <c r="L50" i="3"/>
  <c r="L51" i="3"/>
  <c r="L52" i="3"/>
  <c r="L54" i="3"/>
  <c r="L55" i="3"/>
  <c r="K56" i="3"/>
  <c r="L56" i="3"/>
  <c r="L57" i="3"/>
  <c r="K58" i="3"/>
  <c r="L58" i="3"/>
  <c r="L59" i="3"/>
  <c r="L60" i="3"/>
  <c r="K61" i="3"/>
  <c r="L61" i="3"/>
  <c r="L63" i="3"/>
  <c r="L64" i="3"/>
  <c r="L65" i="3"/>
  <c r="K66" i="3"/>
  <c r="L66" i="3"/>
  <c r="K67" i="3"/>
  <c r="L67" i="3"/>
  <c r="K68" i="3"/>
  <c r="L68" i="3"/>
  <c r="L71" i="3"/>
  <c r="L72" i="3"/>
  <c r="K75" i="3"/>
  <c r="L75" i="3"/>
  <c r="K80" i="3"/>
  <c r="L80" i="3"/>
  <c r="K82" i="3"/>
  <c r="L82" i="3"/>
  <c r="G72" i="3"/>
  <c r="K72" i="3" s="1"/>
  <c r="G71" i="3"/>
  <c r="K71" i="3" s="1"/>
  <c r="G66" i="3"/>
  <c r="G65" i="3"/>
  <c r="K65" i="3" s="1"/>
  <c r="G64" i="3"/>
  <c r="K64" i="3" s="1"/>
  <c r="G63" i="3"/>
  <c r="K63" i="3" s="1"/>
  <c r="G61" i="3"/>
  <c r="G60" i="3"/>
  <c r="K60" i="3" s="1"/>
  <c r="G59" i="3"/>
  <c r="K59" i="3" s="1"/>
  <c r="G58" i="3"/>
  <c r="G57" i="3"/>
  <c r="K57" i="3" s="1"/>
  <c r="G55" i="3"/>
  <c r="K55" i="3" s="1"/>
  <c r="G54" i="3"/>
  <c r="K54" i="3" s="1"/>
  <c r="G52" i="3"/>
  <c r="K52" i="3" s="1"/>
  <c r="G51" i="3"/>
  <c r="K51" i="3" s="1"/>
  <c r="G50" i="3"/>
  <c r="G49" i="3"/>
  <c r="G48" i="3"/>
  <c r="K48" i="3" s="1"/>
  <c r="G46" i="3"/>
  <c r="G45" i="3"/>
  <c r="K45" i="3" s="1"/>
  <c r="G44" i="3"/>
  <c r="K44" i="3" s="1"/>
  <c r="G43" i="3"/>
  <c r="K43" i="3" s="1"/>
  <c r="G39" i="3"/>
  <c r="K39" i="3" s="1"/>
  <c r="G37" i="3"/>
  <c r="G35" i="3"/>
  <c r="K35" i="3" s="1"/>
  <c r="G34" i="3"/>
  <c r="G33" i="3"/>
  <c r="K33" i="3" s="1"/>
  <c r="G24" i="3"/>
  <c r="G21" i="3"/>
  <c r="G18" i="3"/>
  <c r="G14" i="3"/>
  <c r="J76" i="3"/>
  <c r="K76" i="3" s="1"/>
  <c r="J32" i="3"/>
  <c r="H32" i="3"/>
  <c r="I32" i="3"/>
  <c r="L76" i="3" l="1"/>
  <c r="L32" i="3"/>
  <c r="G32" i="3"/>
  <c r="K32" i="3" s="1"/>
  <c r="G81" i="3"/>
  <c r="I81" i="3"/>
  <c r="I78" i="3" s="1"/>
  <c r="I77" i="3" s="1"/>
  <c r="J81" i="3"/>
  <c r="G79" i="3"/>
  <c r="G78" i="3" s="1"/>
  <c r="G77" i="3" s="1"/>
  <c r="I79" i="3"/>
  <c r="J79" i="3"/>
  <c r="H79" i="3"/>
  <c r="H78" i="3" s="1"/>
  <c r="H77" i="3" s="1"/>
  <c r="H81" i="3"/>
  <c r="G74" i="3"/>
  <c r="G73" i="3" s="1"/>
  <c r="I74" i="3"/>
  <c r="I73" i="3" s="1"/>
  <c r="J74" i="3"/>
  <c r="H74" i="3"/>
  <c r="H73" i="3" s="1"/>
  <c r="G70" i="3"/>
  <c r="G69" i="3" s="1"/>
  <c r="I70" i="3"/>
  <c r="I69" i="3" s="1"/>
  <c r="J70" i="3"/>
  <c r="H70" i="3"/>
  <c r="H69" i="3" s="1"/>
  <c r="G62" i="3"/>
  <c r="I62" i="3"/>
  <c r="J62" i="3"/>
  <c r="H62" i="3"/>
  <c r="G53" i="3"/>
  <c r="I53" i="3"/>
  <c r="J53" i="3"/>
  <c r="H53" i="3"/>
  <c r="G47" i="3"/>
  <c r="I47" i="3"/>
  <c r="J47" i="3"/>
  <c r="H47" i="3"/>
  <c r="H42" i="3"/>
  <c r="I42" i="3"/>
  <c r="J42" i="3"/>
  <c r="G42" i="3"/>
  <c r="I38" i="3"/>
  <c r="J38" i="3"/>
  <c r="G38" i="3"/>
  <c r="G36" i="3"/>
  <c r="I36" i="3"/>
  <c r="J36" i="3"/>
  <c r="H38" i="3"/>
  <c r="H36" i="3"/>
  <c r="K14" i="3"/>
  <c r="L14" i="3"/>
  <c r="K15" i="3"/>
  <c r="L15" i="3"/>
  <c r="K18" i="3"/>
  <c r="L18" i="3"/>
  <c r="K21" i="3"/>
  <c r="L21" i="3"/>
  <c r="K24" i="3"/>
  <c r="L24" i="3"/>
  <c r="G13" i="3"/>
  <c r="G12" i="3" s="1"/>
  <c r="G17" i="3"/>
  <c r="G16" i="3" s="1"/>
  <c r="G20" i="3"/>
  <c r="G19" i="3" s="1"/>
  <c r="G23" i="3"/>
  <c r="G22" i="3" s="1"/>
  <c r="I23" i="3"/>
  <c r="I22" i="3" s="1"/>
  <c r="J23" i="3"/>
  <c r="I20" i="3"/>
  <c r="I19" i="3" s="1"/>
  <c r="J20" i="3"/>
  <c r="J19" i="3" s="1"/>
  <c r="I17" i="3"/>
  <c r="I16" i="3" s="1"/>
  <c r="J17" i="3"/>
  <c r="I13" i="3"/>
  <c r="I12" i="3" s="1"/>
  <c r="J13" i="3"/>
  <c r="J12" i="3" s="1"/>
  <c r="H23" i="3"/>
  <c r="H22" i="3" s="1"/>
  <c r="H20" i="3"/>
  <c r="H19" i="3" s="1"/>
  <c r="H17" i="3"/>
  <c r="H16" i="3" s="1"/>
  <c r="H13" i="3"/>
  <c r="H12" i="3" s="1"/>
  <c r="I13" i="1"/>
  <c r="J13" i="1"/>
  <c r="G13" i="1"/>
  <c r="G10" i="1"/>
  <c r="I10" i="1"/>
  <c r="J10" i="1"/>
  <c r="H13" i="1"/>
  <c r="H10" i="1"/>
  <c r="I16" i="1" l="1"/>
  <c r="I25" i="1" s="1"/>
  <c r="G16" i="1"/>
  <c r="G25" i="1" s="1"/>
  <c r="K42" i="3"/>
  <c r="L42" i="3"/>
  <c r="H16" i="1"/>
  <c r="H25" i="1" s="1"/>
  <c r="K81" i="3"/>
  <c r="L81" i="3"/>
  <c r="J78" i="3"/>
  <c r="K47" i="3"/>
  <c r="L47" i="3"/>
  <c r="K62" i="3"/>
  <c r="L62" i="3"/>
  <c r="J73" i="3"/>
  <c r="K74" i="3"/>
  <c r="L74" i="3"/>
  <c r="J69" i="3"/>
  <c r="L70" i="3"/>
  <c r="K70" i="3"/>
  <c r="K36" i="3"/>
  <c r="L36" i="3"/>
  <c r="J16" i="1"/>
  <c r="J25" i="1" s="1"/>
  <c r="K38" i="3"/>
  <c r="L38" i="3"/>
  <c r="K79" i="3"/>
  <c r="L79" i="3"/>
  <c r="K53" i="3"/>
  <c r="L53" i="3"/>
  <c r="I41" i="3"/>
  <c r="J41" i="3"/>
  <c r="G41" i="3"/>
  <c r="H41" i="3"/>
  <c r="I31" i="3"/>
  <c r="K17" i="3"/>
  <c r="H31" i="3"/>
  <c r="H30" i="3" s="1"/>
  <c r="J31" i="3"/>
  <c r="G31" i="3"/>
  <c r="K12" i="3"/>
  <c r="L12" i="3"/>
  <c r="J16" i="3"/>
  <c r="K16" i="3" s="1"/>
  <c r="H11" i="3"/>
  <c r="H10" i="3" s="1"/>
  <c r="K19" i="3"/>
  <c r="K23" i="3"/>
  <c r="L17" i="3"/>
  <c r="L13" i="3"/>
  <c r="K13" i="3"/>
  <c r="L20" i="3"/>
  <c r="K20" i="3"/>
  <c r="J22" i="3"/>
  <c r="L23" i="3"/>
  <c r="L19" i="3"/>
  <c r="G11" i="3"/>
  <c r="G10" i="3" s="1"/>
  <c r="I11" i="3"/>
  <c r="I10" i="3" s="1"/>
  <c r="J77" i="3" l="1"/>
  <c r="K78" i="3"/>
  <c r="L78" i="3"/>
  <c r="K41" i="3"/>
  <c r="L41" i="3"/>
  <c r="K73" i="3"/>
  <c r="L73" i="3"/>
  <c r="K69" i="3"/>
  <c r="L69" i="3"/>
  <c r="K31" i="3"/>
  <c r="L31" i="3"/>
  <c r="G30" i="3"/>
  <c r="J30" i="3"/>
  <c r="I30" i="3"/>
  <c r="L16" i="3"/>
  <c r="K22" i="3"/>
  <c r="L22" i="3"/>
  <c r="J11" i="3"/>
  <c r="L30" i="3" l="1"/>
  <c r="K30" i="3"/>
  <c r="K77" i="3"/>
  <c r="L77" i="3"/>
  <c r="K11" i="3"/>
  <c r="L11" i="3"/>
  <c r="J10" i="3"/>
  <c r="L10" i="3" l="1"/>
  <c r="K10" i="3"/>
</calcChain>
</file>

<file path=xl/sharedStrings.xml><?xml version="1.0" encoding="utf-8"?>
<sst xmlns="http://schemas.openxmlformats.org/spreadsheetml/2006/main" count="335" uniqueCount="174">
  <si>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</si>
  <si>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</si>
  <si>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</si>
  <si>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</si>
  <si>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</si>
  <si>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</si>
  <si>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</si>
  <si>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</si>
  <si>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</si>
  <si>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</si>
  <si>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</si>
  <si>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</si>
  <si>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</si>
  <si>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</si>
  <si>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</si>
  <si>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</si>
  <si>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</si>
  <si>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</si>
  <si>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</si>
  <si>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</si>
  <si>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</si>
  <si>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</si>
  <si>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</si>
  <si>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</si>
  <si>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</si>
  <si>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</si>
  <si>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</si>
  <si>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</si>
  <si>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</si>
  <si>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</si>
  <si>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</si>
  <si>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</si>
  <si>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</si>
  <si>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</si>
  <si>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</si>
  <si>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</si>
  <si>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</si>
  <si>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</si>
  <si>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</si>
  <si>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</si>
  <si>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</si>
  <si>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</si>
  <si>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</si>
  <si>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</si>
  <si>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</si>
  <si>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</si>
  <si>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</si>
  <si>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</si>
  <si>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</si>
  <si>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</si>
  <si>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</si>
  <si>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</si>
  <si>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</si>
  <si>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</si>
  <si>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</si>
  <si>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</si>
  <si>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</si>
  <si>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</si>
  <si>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</si>
  <si>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</si>
  <si>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</si>
  <si>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</si>
  <si>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</si>
  <si>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</si>
  <si>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</si>
  <si>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</si>
  <si>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</si>
  <si>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</si>
  <si>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</si>
  <si>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</si>
  <si>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</si>
  <si>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</si>
  <si>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</si>
  <si>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</si>
  <si>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</si>
  <si>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</si>
  <si>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</si>
  <si>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</si>
  <si>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</si>
  <si>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</si>
  <si>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Tekuće pomoći iz proračuna koji im nije nadležam</t>
  </si>
  <si>
    <t>Kapitalne pomoći iz proračuna koji imnije nadležan</t>
  </si>
  <si>
    <t>Pomoći proračunskim korisnicima iz proračuna koji im nije nadležan</t>
  </si>
  <si>
    <t xml:space="preserve">6526 Ostali nespomenuti prihodi </t>
  </si>
  <si>
    <t>652 Prihodi po posebnim propisima</t>
  </si>
  <si>
    <t xml:space="preserve">Prihodi od upravnih i administrativnih pristojbi, pristojbi po posebnim propisima i naknada </t>
  </si>
  <si>
    <t>Prihodi od pruženih usluga</t>
  </si>
  <si>
    <t xml:space="preserve"> Prihodi iz nadležnog proračuna i od HZZO-a temeljem ugovornih obveza</t>
  </si>
  <si>
    <t xml:space="preserve"> Prihodi iz nadležnog proračuna za financiranje redovne djelatnosti proračunskih korisnika</t>
  </si>
  <si>
    <t>Prihodi iz nadležnog proračuna za financiranje rashoda poslovanja</t>
  </si>
  <si>
    <t>Plaće za prekovremeni rad</t>
  </si>
  <si>
    <t>Plaće za posebne uvjete rada</t>
  </si>
  <si>
    <t>Ostali rashodi za zaposlene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</si>
  <si>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</si>
  <si>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</si>
  <si>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</si>
  <si>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</si>
  <si>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</si>
  <si>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</si>
  <si>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</si>
  <si>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</si>
  <si>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</si>
  <si>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</si>
  <si>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</si>
  <si>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</si>
  <si>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</si>
  <si>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</si>
  <si>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</si>
  <si>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</si>
  <si>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</si>
  <si>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</si>
  <si>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</si>
  <si>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 xml:space="preserve">Ostale usluge  </t>
  </si>
  <si>
    <t>Ostali nespomenuti rashodi poslovanja</t>
  </si>
  <si>
    <t>Premije osiguranja</t>
  </si>
  <si>
    <t>Reprezentacija</t>
  </si>
  <si>
    <t>Članarine i norme</t>
  </si>
  <si>
    <t>Pristojbe i naknade</t>
  </si>
  <si>
    <t xml:space="preserve">Troškovi sudskog postupka </t>
  </si>
  <si>
    <t>Bankarske usluge i usluge platnog prometa</t>
  </si>
  <si>
    <t>Ostali financijski rashodi</t>
  </si>
  <si>
    <t>Financijski rashodi</t>
  </si>
  <si>
    <t xml:space="preserve">Zatezne kamate </t>
  </si>
  <si>
    <t>Naknade građanima i kućanstvima u naravi</t>
  </si>
  <si>
    <t>Naknade građanima i kućanstvima u novcu</t>
  </si>
  <si>
    <t>Ostale naknade građanima i kućanstvima iz proračuna</t>
  </si>
  <si>
    <t>Naknade građanima i kućanstvima na temelju osiguranja i druge naknade</t>
  </si>
  <si>
    <t>Knjige</t>
  </si>
  <si>
    <t>Knjige, umjetnička djela</t>
  </si>
  <si>
    <t>Uredska oprema i namještaj</t>
  </si>
  <si>
    <t>Postrojenja i oprema</t>
  </si>
  <si>
    <t>4 Prihodi za posebne namjene</t>
  </si>
  <si>
    <t xml:space="preserve">43 Prihodi za posebne namjene </t>
  </si>
  <si>
    <t>5 Pomoći</t>
  </si>
  <si>
    <t xml:space="preserve">6 Donacije </t>
  </si>
  <si>
    <t xml:space="preserve">  51 Pomoći EU</t>
  </si>
  <si>
    <t xml:space="preserve">  52 Pomoći</t>
  </si>
  <si>
    <t xml:space="preserve">  61 Donacije </t>
  </si>
  <si>
    <t>09 Obrazovanje</t>
  </si>
  <si>
    <t>0912 Osnovno obrazovanje</t>
  </si>
  <si>
    <t>0960 Dodatne usluge u obrazovanju</t>
  </si>
  <si>
    <t xml:space="preserve">OSNOVNA ŠKOLA ČAKOVCI </t>
  </si>
  <si>
    <t>RKP 23147, OIB 48107004999</t>
  </si>
  <si>
    <t xml:space="preserve">BROJČANA OZNAKA IZVORA FINANCIRANJA </t>
  </si>
  <si>
    <t xml:space="preserve">NAZIV IZVORA FINANCIRANJA </t>
  </si>
  <si>
    <t xml:space="preserve">Obrazovanje </t>
  </si>
  <si>
    <t>A102101</t>
  </si>
  <si>
    <t>Odgojnoobrazovno, administrativno i tehničko osoblje</t>
  </si>
  <si>
    <t>Glava</t>
  </si>
  <si>
    <t xml:space="preserve">Ustanove u osnovnoškolskom obrazovanju </t>
  </si>
  <si>
    <t>Glavni Program P09</t>
  </si>
  <si>
    <t xml:space="preserve">Program  </t>
  </si>
  <si>
    <t>Osnovnoškolsko obrazovanje</t>
  </si>
  <si>
    <t xml:space="preserve">Opći prihodi i primitci </t>
  </si>
  <si>
    <t xml:space="preserve">Materijalni rashodi </t>
  </si>
  <si>
    <t>Rashodi za nabavu proizvedene dugotrajne imovine</t>
  </si>
  <si>
    <t>A57900</t>
  </si>
  <si>
    <t xml:space="preserve">Pomoći </t>
  </si>
  <si>
    <t>A100100</t>
  </si>
  <si>
    <t xml:space="preserve">Usluge u obrazovanju </t>
  </si>
  <si>
    <t xml:space="preserve">Vlastiti prihodi </t>
  </si>
  <si>
    <t>A43100</t>
  </si>
  <si>
    <t xml:space="preserve">Posebene aktivnosti </t>
  </si>
  <si>
    <t xml:space="preserve">Prihodi za posebne namjene </t>
  </si>
  <si>
    <t>A123002</t>
  </si>
  <si>
    <t>NABAVA OBRAZOVNIH MATERIJALA</t>
  </si>
  <si>
    <t>Školska kuhinja</t>
  </si>
  <si>
    <t>A123003</t>
  </si>
  <si>
    <t>Pomoći</t>
  </si>
  <si>
    <t>ČLANARINE</t>
  </si>
  <si>
    <t>Tekuće donacije građanima i kućanstvima</t>
  </si>
  <si>
    <t>NAKNADE GRAĐANIMA I KUĆANSTVIMA</t>
  </si>
  <si>
    <t>NAKNADE GRAĐANIMA I KUĆANSTVIMA U NARAVI</t>
  </si>
  <si>
    <t>USLUGE TELEFONA, POŠTE I PRIJEVOZA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</si>
</sst>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[$€-1]_-;\-* #,##0.00\ [$€-1]_-;_-* &quot;-&quot;??\ [$€-1]_-;_-@_-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24" fillId="18" borderId="7" applyNumberFormat="0" applyAlignment="0" applyProtection="0"/>
    <xf numFmtId="0" fontId="25" fillId="19" borderId="8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11" borderId="7" applyNumberFormat="0" applyAlignment="0" applyProtection="0"/>
    <xf numFmtId="0" fontId="32" fillId="0" borderId="13" applyNumberFormat="0" applyFill="0" applyAlignment="0" applyProtection="0"/>
    <xf numFmtId="0" fontId="33" fillId="11" borderId="0" applyNumberFormat="0" applyBorder="0" applyAlignment="0" applyProtection="0"/>
    <xf numFmtId="0" fontId="19" fillId="0" borderId="0"/>
    <xf numFmtId="0" fontId="34" fillId="6" borderId="6" applyNumberFormat="0" applyFont="0" applyAlignment="0" applyProtection="0"/>
    <xf numFmtId="0" fontId="20" fillId="6" borderId="6" applyNumberFormat="0" applyFont="0" applyAlignment="0" applyProtection="0"/>
    <xf numFmtId="0" fontId="3" fillId="0" borderId="0"/>
    <xf numFmtId="0" fontId="35" fillId="18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0" fillId="21" borderId="0" applyNumberFormat="0" applyBorder="0" applyAlignment="0" applyProtection="0"/>
  </cellStyleXfs>
  <cellXfs count="142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38" fillId="0" borderId="3" xfId="0" applyFont="1" applyBorder="1" applyAlignment="1" applyProtection="1">
      <alignment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2" borderId="3" xfId="0" quotePrefix="1" applyFont="1" applyFill="1" applyBorder="1" applyAlignment="1" applyProtection="1">
      <alignment horizontal="left" vertical="center" wrapText="1"/>
      <protection locked="0"/>
    </xf>
    <xf numFmtId="0" fontId="10" fillId="2" borderId="3" xfId="0" quotePrefix="1" applyFont="1" applyFill="1" applyBorder="1" applyAlignment="1" applyProtection="1">
      <alignment horizontal="left" vertical="center" wrapText="1"/>
      <protection locked="0"/>
    </xf>
    <xf numFmtId="1" fontId="9" fillId="0" borderId="15" xfId="1" applyNumberFormat="1" applyFont="1" applyBorder="1" applyAlignment="1" applyProtection="1">
      <alignment horizontal="left" vertical="center" wrapText="1"/>
      <protection locked="0"/>
    </xf>
    <xf numFmtId="0" fontId="11" fillId="2" borderId="3" xfId="0" quotePrefix="1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9" fillId="0" borderId="16" xfId="1" applyFont="1" applyBorder="1" applyAlignment="1" applyProtection="1">
      <alignment horizontal="left" wrapText="1"/>
      <protection locked="0"/>
    </xf>
    <xf numFmtId="0" fontId="39" fillId="0" borderId="16" xfId="1" applyFont="1" applyBorder="1" applyAlignment="1" applyProtection="1">
      <alignment wrapText="1"/>
      <protection locked="0"/>
    </xf>
    <xf numFmtId="0" fontId="38" fillId="0" borderId="16" xfId="1" applyFont="1" applyBorder="1" applyAlignment="1" applyProtection="1">
      <alignment wrapText="1"/>
      <protection locked="0"/>
    </xf>
    <xf numFmtId="0" fontId="39" fillId="0" borderId="0" xfId="1" applyFont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3" xfId="0" quotePrefix="1" applyFont="1" applyFill="1" applyBorder="1" applyAlignment="1" applyProtection="1">
      <alignment horizontal="left" vertical="center"/>
      <protection locked="0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0" fontId="38" fillId="0" borderId="3" xfId="0" applyFont="1" applyBorder="1" applyProtection="1">
      <protection locked="0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/>
    </xf>
    <xf numFmtId="4" fontId="38" fillId="20" borderId="3" xfId="0" applyNumberFormat="1" applyFont="1" applyFill="1" applyBorder="1" applyAlignment="1">
      <alignment wrapText="1"/>
    </xf>
    <xf numFmtId="4" fontId="38" fillId="20" borderId="3" xfId="0" applyNumberFormat="1" applyFont="1" applyFill="1" applyBorder="1" applyAlignment="1" applyProtection="1">
      <alignment wrapText="1"/>
    </xf>
    <xf numFmtId="165" fontId="3" fillId="20" borderId="3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 applyProtection="1">
      <alignment horizontal="right" wrapText="1"/>
      <protection locked="0"/>
    </xf>
    <xf numFmtId="165" fontId="38" fillId="0" borderId="3" xfId="0" applyNumberFormat="1" applyFont="1" applyBorder="1" applyAlignment="1" applyProtection="1">
      <alignment wrapText="1"/>
      <protection locked="0"/>
    </xf>
    <xf numFmtId="165" fontId="6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0" fontId="41" fillId="0" borderId="3" xfId="0" applyFont="1" applyBorder="1"/>
    <xf numFmtId="0" fontId="38" fillId="0" borderId="3" xfId="0" applyFont="1" applyBorder="1" applyAlignment="1">
      <alignment horizontal="left" vertical="center"/>
    </xf>
    <xf numFmtId="0" fontId="39" fillId="0" borderId="3" xfId="0" applyFont="1" applyBorder="1"/>
    <xf numFmtId="0" fontId="0" fillId="20" borderId="3" xfId="0" applyFill="1" applyBorder="1"/>
    <xf numFmtId="165" fontId="3" fillId="20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0" fillId="0" borderId="3" xfId="0" applyNumberFormat="1" applyBorder="1"/>
    <xf numFmtId="165" fontId="3" fillId="2" borderId="3" xfId="0" applyNumberFormat="1" applyFont="1" applyFill="1" applyBorder="1" applyAlignment="1">
      <alignment horizontal="right" wrapText="1"/>
    </xf>
    <xf numFmtId="165" fontId="0" fillId="20" borderId="3" xfId="0" applyNumberFormat="1" applyFill="1" applyBorder="1"/>
    <xf numFmtId="0" fontId="41" fillId="22" borderId="17" xfId="0" applyFont="1" applyFill="1" applyBorder="1" applyAlignment="1">
      <alignment horizontal="left" vertical="center" wrapText="1"/>
    </xf>
    <xf numFmtId="0" fontId="39" fillId="22" borderId="17" xfId="0" quotePrefix="1" applyFont="1" applyFill="1" applyBorder="1" applyAlignment="1">
      <alignment horizontal="left" vertical="center" wrapText="1"/>
    </xf>
    <xf numFmtId="0" fontId="38" fillId="22" borderId="17" xfId="0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right"/>
    </xf>
    <xf numFmtId="165" fontId="1" fillId="0" borderId="3" xfId="0" applyNumberFormat="1" applyFont="1" applyBorder="1"/>
    <xf numFmtId="0" fontId="41" fillId="3" borderId="3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165" fontId="41" fillId="2" borderId="3" xfId="0" applyNumberFormat="1" applyFont="1" applyFill="1" applyBorder="1" applyAlignment="1">
      <alignment horizontal="left" vertical="center"/>
    </xf>
    <xf numFmtId="3" fontId="41" fillId="2" borderId="3" xfId="0" applyNumberFormat="1" applyFont="1" applyFill="1" applyBorder="1" applyAlignment="1">
      <alignment horizontal="left" vertical="center"/>
    </xf>
    <xf numFmtId="3" fontId="41" fillId="23" borderId="3" xfId="0" applyNumberFormat="1" applyFont="1" applyFill="1" applyBorder="1" applyAlignment="1">
      <alignment horizontal="left" vertical="center"/>
    </xf>
    <xf numFmtId="165" fontId="41" fillId="2" borderId="3" xfId="0" applyNumberFormat="1" applyFont="1" applyFill="1" applyBorder="1" applyAlignment="1">
      <alignment horizontal="right"/>
    </xf>
    <xf numFmtId="165" fontId="41" fillId="2" borderId="3" xfId="0" applyNumberFormat="1" applyFont="1" applyFill="1" applyBorder="1" applyAlignment="1">
      <alignment horizontal="right" wrapText="1"/>
    </xf>
    <xf numFmtId="0" fontId="41" fillId="2" borderId="3" xfId="0" applyFont="1" applyFill="1" applyBorder="1" applyAlignment="1">
      <alignment horizontal="left" vertical="center" wrapText="1"/>
    </xf>
    <xf numFmtId="0" fontId="42" fillId="2" borderId="3" xfId="0" quotePrefix="1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wrapText="1"/>
    </xf>
    <xf numFmtId="0" fontId="41" fillId="3" borderId="3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left" vertical="center" wrapText="1"/>
    </xf>
    <xf numFmtId="3" fontId="41" fillId="2" borderId="3" xfId="0" applyNumberFormat="1" applyFont="1" applyFill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/>
    </xf>
    <xf numFmtId="0" fontId="41" fillId="2" borderId="3" xfId="46" applyFont="1" applyFill="1" applyBorder="1" applyAlignment="1">
      <alignment wrapText="1"/>
    </xf>
    <xf numFmtId="0" fontId="41" fillId="2" borderId="3" xfId="0" applyFont="1" applyFill="1" applyBorder="1" applyAlignment="1">
      <alignment wrapText="1"/>
    </xf>
    <xf numFmtId="0" fontId="1" fillId="0" borderId="3" xfId="0" applyFont="1" applyBorder="1" applyAlignment="1">
      <alignment horizontal="left" vertical="center"/>
    </xf>
  </cellXfs>
  <cellStyles count="47">
    <cellStyle name="20% - Accent1" xfId="2" xr:uid="{C2346DE1-13AB-42DC-A548-FFE8F413733F}"/>
    <cellStyle name="20% - Accent2" xfId="3" xr:uid="{9B92C912-2165-4A1F-8518-0E7F9546A92D}"/>
    <cellStyle name="20% - Accent3" xfId="4" xr:uid="{110801D7-B5CF-4A6F-B27E-F42CADEF9B7D}"/>
    <cellStyle name="20% - Accent4" xfId="5" xr:uid="{94BBA54C-24AC-4D8A-BDE2-C26C2D3D84C8}"/>
    <cellStyle name="20% - Accent5" xfId="6" xr:uid="{83899ACE-00FD-4E4A-B640-D71A6C26F4A2}"/>
    <cellStyle name="20% - Accent6" xfId="7" xr:uid="{F20F690C-1708-41E1-92C1-CEBAC5DA9BAC}"/>
    <cellStyle name="40% - Accent1" xfId="8" xr:uid="{D8731320-AC25-4EF8-83D6-6BAB3E40A144}"/>
    <cellStyle name="40% - Accent2" xfId="9" xr:uid="{8DB01092-7E1B-406B-9603-8426281B0611}"/>
    <cellStyle name="40% - Accent3" xfId="10" xr:uid="{301CCE34-8FE1-4F70-BEA0-DA8D2335B6FC}"/>
    <cellStyle name="40% - Accent4" xfId="11" xr:uid="{2A238E87-C844-4C26-8FFE-05ACE76D4A2C}"/>
    <cellStyle name="40% - Accent5" xfId="12" xr:uid="{05E40DC3-B868-490A-8A2F-AE38A6821F77}"/>
    <cellStyle name="40% - Accent6" xfId="13" xr:uid="{8EFFE51A-CF94-468B-A7AF-6E8179B3BE5F}"/>
    <cellStyle name="60% - Accent1" xfId="14" xr:uid="{9920B34C-580C-4464-8422-E83D58179544}"/>
    <cellStyle name="60% - Accent2" xfId="15" xr:uid="{21FAB1FF-E9AD-437A-9D52-10BAAE48592A}"/>
    <cellStyle name="60% - Accent3" xfId="16" xr:uid="{8CFB1AE6-1CB7-4A6F-95C7-F8EEC4F4B145}"/>
    <cellStyle name="60% - Accent4" xfId="17" xr:uid="{50AF72DA-A2C7-41E2-BCFA-7A38E59AAFE3}"/>
    <cellStyle name="60% - Accent5" xfId="18" xr:uid="{24EA8786-BF0F-4B8D-88BD-F3F882A11695}"/>
    <cellStyle name="60% - Accent6" xfId="19" xr:uid="{B21FCB0C-FB3C-4D7B-96A1-C4E3C4F90779}"/>
    <cellStyle name="Accent1" xfId="20" xr:uid="{3BE7206F-C22D-4A99-AC5E-4FABF0F00DA0}"/>
    <cellStyle name="Accent2" xfId="21" xr:uid="{7C385EBD-48B9-4260-A065-EEA19AFE0897}"/>
    <cellStyle name="Accent3" xfId="22" xr:uid="{02340D87-B60B-4A25-BB51-614554469988}"/>
    <cellStyle name="Accent4" xfId="23" xr:uid="{CFB8FE02-1C7F-40D3-A2D8-35CB2F315E81}"/>
    <cellStyle name="Accent5" xfId="24" xr:uid="{C01DAA89-9F4F-41CD-AAB4-D2A477D464B9}"/>
    <cellStyle name="Accent6" xfId="25" xr:uid="{9723D854-5652-4A5F-9260-B7D12FF4E3A4}"/>
    <cellStyle name="Bad" xfId="26" xr:uid="{D621B976-941D-47F5-A326-BCAF2688A747}"/>
    <cellStyle name="Calculation" xfId="27" xr:uid="{B11DDE38-4F26-4F41-A18C-B421BDBCDA53}"/>
    <cellStyle name="Check Cell" xfId="28" xr:uid="{A944C400-147A-4E4E-AEBA-81ABB57093CA}"/>
    <cellStyle name="Dobro" xfId="46" builtinId="26"/>
    <cellStyle name="Explanatory Text" xfId="29" xr:uid="{750CF886-2EBC-4878-B2C8-3F1B250BBB4C}"/>
    <cellStyle name="Good" xfId="30" xr:uid="{7D5F54B5-88F2-4FFE-B1D2-DF490D1FEAB2}"/>
    <cellStyle name="Heading 1" xfId="31" xr:uid="{5D87D70D-0212-419F-B23A-04A6F6B53271}"/>
    <cellStyle name="Heading 2" xfId="32" xr:uid="{A6D2EED3-0A61-4510-B5E5-041654ECE890}"/>
    <cellStyle name="Heading 3" xfId="33" xr:uid="{75784EA4-862E-462B-8C53-068C684077B3}"/>
    <cellStyle name="Heading 4" xfId="34" xr:uid="{D9C8B270-9F58-425E-A8DE-AF28487ED760}"/>
    <cellStyle name="Input" xfId="35" xr:uid="{8DB4F739-9497-4401-81AA-2474A3064A4D}"/>
    <cellStyle name="Linked Cell" xfId="36" xr:uid="{51BEFE07-5C23-4388-9EA9-1F47B190BC4B}"/>
    <cellStyle name="Neutral" xfId="37" xr:uid="{5DCE0A2F-F8D2-419D-97BB-99381D34DA06}"/>
    <cellStyle name="Normalno" xfId="0" builtinId="0"/>
    <cellStyle name="Normalno 2" xfId="38" xr:uid="{5505EF92-72F8-4500-9822-FBE581C2ACEF}"/>
    <cellStyle name="Normalno 3" xfId="1" xr:uid="{157022EE-14F4-4861-B57F-67F3CA2A3588}"/>
    <cellStyle name="Note" xfId="39" xr:uid="{E57A79E6-8ED2-4FA7-A628-321282F59EE7}"/>
    <cellStyle name="Note 2" xfId="40" xr:uid="{FF09DCCC-137C-4E75-BC30-E9255FBE0F31}"/>
    <cellStyle name="Obično_List10" xfId="41" xr:uid="{387FF064-53F6-4B91-8016-A8CECA15C568}"/>
    <cellStyle name="Output" xfId="42" xr:uid="{3441D8AC-875B-4D38-8B3E-FEE4D82674A0}"/>
    <cellStyle name="Title" xfId="43" xr:uid="{8F600767-E383-4A42-9CA3-3247EF1E84B7}"/>
    <cellStyle name="Total" xfId="44" xr:uid="{2C6E36B6-7F89-4858-9755-63C0BF9A2BF4}"/>
    <cellStyle name="Warning Text" xfId="45" xr:uid="{315156A9-0DC1-490E-9C46-DB1DC584A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workbookViewId="0">
      <selection activeCell="B24" sqref="B24:L25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64" t="s">
        <v>55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64" t="s">
        <v>12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2" ht="36" customHeight="1" x14ac:dyDescent="0.25">
      <c r="B4" s="83"/>
      <c r="C4" s="83"/>
      <c r="D4" s="83"/>
      <c r="E4" s="2"/>
      <c r="F4" s="2"/>
      <c r="G4" s="2"/>
      <c r="H4" s="2"/>
      <c r="I4" s="2"/>
      <c r="J4" s="3"/>
      <c r="K4" s="3"/>
    </row>
    <row r="5" spans="2:12" ht="18" customHeight="1" x14ac:dyDescent="0.25">
      <c r="B5" s="64" t="s">
        <v>63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8" customHeight="1" x14ac:dyDescent="0.25">
      <c r="B6" s="36"/>
      <c r="C6" s="38"/>
      <c r="D6" s="38"/>
      <c r="E6" s="38"/>
      <c r="F6" s="38"/>
      <c r="G6" s="38"/>
      <c r="H6" s="38"/>
      <c r="I6" s="38"/>
      <c r="J6" s="38"/>
      <c r="K6" s="38"/>
    </row>
    <row r="7" spans="2:12" x14ac:dyDescent="0.25">
      <c r="B7" s="77" t="s">
        <v>64</v>
      </c>
      <c r="C7" s="77"/>
      <c r="D7" s="77"/>
      <c r="E7" s="77"/>
      <c r="F7" s="77"/>
      <c r="G7" s="4"/>
      <c r="H7" s="4"/>
      <c r="I7" s="4"/>
      <c r="J7" s="4"/>
      <c r="K7" s="22"/>
    </row>
    <row r="8" spans="2:12" ht="25.5" x14ac:dyDescent="0.25">
      <c r="B8" s="78" t="s">
        <v>7</v>
      </c>
      <c r="C8" s="79"/>
      <c r="D8" s="79"/>
      <c r="E8" s="79"/>
      <c r="F8" s="80"/>
      <c r="G8" s="26" t="s">
        <v>65</v>
      </c>
      <c r="H8" s="1" t="s">
        <v>54</v>
      </c>
      <c r="I8" s="1" t="s">
        <v>51</v>
      </c>
      <c r="J8" s="26" t="s">
        <v>66</v>
      </c>
      <c r="K8" s="1" t="s">
        <v>17</v>
      </c>
      <c r="L8" s="1" t="s">
        <v>52</v>
      </c>
    </row>
    <row r="9" spans="2:12" s="29" customFormat="1" ht="11.25" x14ac:dyDescent="0.2">
      <c r="B9" s="71">
        <v>1</v>
      </c>
      <c r="C9" s="71"/>
      <c r="D9" s="71"/>
      <c r="E9" s="71"/>
      <c r="F9" s="72"/>
      <c r="G9" s="28">
        <v>2</v>
      </c>
      <c r="H9" s="27">
        <v>3</v>
      </c>
      <c r="I9" s="27">
        <v>4</v>
      </c>
      <c r="J9" s="27">
        <v>5</v>
      </c>
      <c r="K9" s="27" t="s">
        <v>19</v>
      </c>
      <c r="L9" s="27" t="s">
        <v>20</v>
      </c>
    </row>
    <row r="10" spans="2:12" x14ac:dyDescent="0.25">
      <c r="B10" s="73" t="s">
        <v>0</v>
      </c>
      <c r="C10" s="74"/>
      <c r="D10" s="74"/>
      <c r="E10" s="74"/>
      <c r="F10" s="75"/>
      <c r="G10" s="108">
        <f>SUM(G11:G12)</f>
        <v>303318.62</v>
      </c>
      <c r="H10" s="108">
        <f>SUM(H11:H12)</f>
        <v>626315.34</v>
      </c>
      <c r="I10" s="108">
        <f t="shared" ref="I10:J10" si="0">SUM(I11:I12)</f>
        <v>631364.88</v>
      </c>
      <c r="J10" s="108">
        <f t="shared" si="0"/>
        <v>346243.77</v>
      </c>
      <c r="K10" s="21"/>
      <c r="L10" s="21"/>
    </row>
    <row r="11" spans="2:12" x14ac:dyDescent="0.25">
      <c r="B11" s="76" t="s">
        <v>56</v>
      </c>
      <c r="C11" s="67"/>
      <c r="D11" s="67"/>
      <c r="E11" s="67"/>
      <c r="F11" s="69"/>
      <c r="G11" s="107">
        <f>' Račun prihoda i rashoda'!G11</f>
        <v>303318.62</v>
      </c>
      <c r="H11" s="107">
        <f>' Račun prihoda i rashoda'!H11</f>
        <v>626315.34</v>
      </c>
      <c r="I11" s="107">
        <f>' Račun prihoda i rashoda'!I11</f>
        <v>631364.88</v>
      </c>
      <c r="J11" s="107">
        <f>' Račun prihoda i rashoda'!J11</f>
        <v>346243.77</v>
      </c>
      <c r="K11" s="107">
        <f>' Račun prihoda i rashoda'!K11</f>
        <v>1.1399999999999999</v>
      </c>
      <c r="L11" s="107">
        <f>' Račun prihoda i rashoda'!L11</f>
        <v>0.55000000000000004</v>
      </c>
    </row>
    <row r="12" spans="2:12" x14ac:dyDescent="0.25">
      <c r="B12" s="68" t="s">
        <v>61</v>
      </c>
      <c r="C12" s="69"/>
      <c r="D12" s="69"/>
      <c r="E12" s="69"/>
      <c r="F12" s="69"/>
      <c r="G12" s="107"/>
      <c r="H12" s="107"/>
      <c r="I12" s="107"/>
      <c r="J12" s="107"/>
      <c r="K12" s="19"/>
      <c r="L12" s="19"/>
    </row>
    <row r="13" spans="2:12" x14ac:dyDescent="0.25">
      <c r="B13" s="23" t="s">
        <v>1</v>
      </c>
      <c r="C13" s="37"/>
      <c r="D13" s="37"/>
      <c r="E13" s="37"/>
      <c r="F13" s="37"/>
      <c r="G13" s="108">
        <f>SUM(G14:G15)</f>
        <v>305931.61</v>
      </c>
      <c r="H13" s="108">
        <f>SUM(H14:H15)</f>
        <v>629362.79</v>
      </c>
      <c r="I13" s="108">
        <f>SUM(I14:I15)</f>
        <v>634412.32999999996</v>
      </c>
      <c r="J13" s="108">
        <f>SUM(J14:J15)</f>
        <v>346915.72</v>
      </c>
      <c r="K13" s="21"/>
      <c r="L13" s="21"/>
    </row>
    <row r="14" spans="2:12" x14ac:dyDescent="0.25">
      <c r="B14" s="66" t="s">
        <v>57</v>
      </c>
      <c r="C14" s="67"/>
      <c r="D14" s="67"/>
      <c r="E14" s="67"/>
      <c r="F14" s="67"/>
      <c r="G14" s="107">
        <f>' Račun prihoda i rashoda'!G30</f>
        <v>305931.61</v>
      </c>
      <c r="H14" s="107">
        <f>' Račun prihoda i rashoda'!H30</f>
        <v>622866</v>
      </c>
      <c r="I14" s="107">
        <f>' Račun prihoda i rashoda'!I30</f>
        <v>627915.54</v>
      </c>
      <c r="J14" s="107">
        <f>' Račun prihoda i rashoda'!J30</f>
        <v>346915.72</v>
      </c>
      <c r="K14" s="19">
        <f>' Račun prihoda i rashoda'!K30</f>
        <v>113</v>
      </c>
      <c r="L14" s="19">
        <f>' Račun prihoda i rashoda'!L30</f>
        <v>55</v>
      </c>
    </row>
    <row r="15" spans="2:12" x14ac:dyDescent="0.25">
      <c r="B15" s="68" t="s">
        <v>58</v>
      </c>
      <c r="C15" s="69"/>
      <c r="D15" s="69"/>
      <c r="E15" s="69"/>
      <c r="F15" s="69"/>
      <c r="G15" s="107">
        <f>' Račun prihoda i rashoda'!G77</f>
        <v>0</v>
      </c>
      <c r="H15" s="107">
        <f>' Račun prihoda i rashoda'!H77</f>
        <v>6496.79</v>
      </c>
      <c r="I15" s="107">
        <f>' Račun prihoda i rashoda'!I77</f>
        <v>6496.79</v>
      </c>
      <c r="J15" s="107">
        <f>' Račun prihoda i rashoda'!J77</f>
        <v>0</v>
      </c>
      <c r="K15" s="19" t="e">
        <f>' Račun prihoda i rashoda'!K77</f>
        <v>#DIV/0!</v>
      </c>
      <c r="L15" s="19">
        <f>' Račun prihoda i rashoda'!L77</f>
        <v>0</v>
      </c>
    </row>
    <row r="16" spans="2:12" x14ac:dyDescent="0.25">
      <c r="B16" s="82" t="s">
        <v>67</v>
      </c>
      <c r="C16" s="74"/>
      <c r="D16" s="74"/>
      <c r="E16" s="74"/>
      <c r="F16" s="74"/>
      <c r="G16" s="108">
        <f>G10-G13</f>
        <v>-2612.9899999999998</v>
      </c>
      <c r="H16" s="108">
        <f>H10-H13</f>
        <v>-3047.45</v>
      </c>
      <c r="I16" s="108">
        <f t="shared" ref="I16:J16" si="1">I10-I13</f>
        <v>-3047.45</v>
      </c>
      <c r="J16" s="108">
        <f t="shared" si="1"/>
        <v>-671.95</v>
      </c>
      <c r="K16" s="20"/>
      <c r="L16" s="20"/>
    </row>
    <row r="17" spans="1:43" ht="18" x14ac:dyDescent="0.25">
      <c r="B17" s="2"/>
      <c r="C17" s="17"/>
      <c r="D17" s="17"/>
      <c r="E17" s="17"/>
      <c r="F17" s="17"/>
      <c r="G17" s="17"/>
      <c r="H17" s="17"/>
      <c r="I17" s="18"/>
      <c r="J17" s="18"/>
      <c r="K17" s="18"/>
      <c r="L17" s="18"/>
    </row>
    <row r="18" spans="1:43" ht="18" customHeight="1" x14ac:dyDescent="0.25">
      <c r="B18" s="77" t="s">
        <v>68</v>
      </c>
      <c r="C18" s="77"/>
      <c r="D18" s="77"/>
      <c r="E18" s="77"/>
      <c r="F18" s="77"/>
      <c r="G18" s="17"/>
      <c r="H18" s="17"/>
      <c r="I18" s="18"/>
      <c r="J18" s="18"/>
      <c r="K18" s="18"/>
      <c r="L18" s="18"/>
    </row>
    <row r="19" spans="1:43" ht="25.5" x14ac:dyDescent="0.25">
      <c r="B19" s="78" t="s">
        <v>7</v>
      </c>
      <c r="C19" s="79"/>
      <c r="D19" s="79"/>
      <c r="E19" s="79"/>
      <c r="F19" s="80"/>
      <c r="G19" s="26" t="s">
        <v>65</v>
      </c>
      <c r="H19" s="1" t="s">
        <v>54</v>
      </c>
      <c r="I19" s="1" t="s">
        <v>51</v>
      </c>
      <c r="J19" s="26" t="s">
        <v>66</v>
      </c>
      <c r="K19" s="1" t="s">
        <v>17</v>
      </c>
      <c r="L19" s="1" t="s">
        <v>52</v>
      </c>
    </row>
    <row r="20" spans="1:43" s="29" customFormat="1" x14ac:dyDescent="0.25">
      <c r="B20" s="71">
        <v>1</v>
      </c>
      <c r="C20" s="71"/>
      <c r="D20" s="71"/>
      <c r="E20" s="71"/>
      <c r="F20" s="72"/>
      <c r="G20" s="28">
        <v>2</v>
      </c>
      <c r="H20" s="27">
        <v>3</v>
      </c>
      <c r="I20" s="27">
        <v>4</v>
      </c>
      <c r="J20" s="27">
        <v>5</v>
      </c>
      <c r="K20" s="27" t="s">
        <v>19</v>
      </c>
      <c r="L20" s="27" t="s">
        <v>20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29"/>
      <c r="B21" s="76" t="s">
        <v>59</v>
      </c>
      <c r="C21" s="87"/>
      <c r="D21" s="87"/>
      <c r="E21" s="87"/>
      <c r="F21" s="88"/>
      <c r="G21" s="19"/>
      <c r="H21" s="19"/>
      <c r="I21" s="19"/>
      <c r="J21" s="19"/>
      <c r="K21" s="19"/>
      <c r="L21" s="19"/>
    </row>
    <row r="22" spans="1:43" x14ac:dyDescent="0.25">
      <c r="A22" s="29"/>
      <c r="B22" s="76" t="s">
        <v>60</v>
      </c>
      <c r="C22" s="67"/>
      <c r="D22" s="67"/>
      <c r="E22" s="67"/>
      <c r="F22" s="67"/>
      <c r="G22" s="19"/>
      <c r="H22" s="19"/>
      <c r="I22" s="19"/>
      <c r="J22" s="19"/>
      <c r="K22" s="19"/>
      <c r="L22" s="19"/>
    </row>
    <row r="23" spans="1:43" s="39" customFormat="1" ht="15" customHeight="1" x14ac:dyDescent="0.25">
      <c r="A23" s="29"/>
      <c r="B23" s="84" t="s">
        <v>62</v>
      </c>
      <c r="C23" s="85"/>
      <c r="D23" s="85"/>
      <c r="E23" s="85"/>
      <c r="F23" s="86"/>
      <c r="G23" s="21"/>
      <c r="H23" s="21"/>
      <c r="I23" s="21"/>
      <c r="J23" s="21"/>
      <c r="K23" s="21"/>
      <c r="L23" s="2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39" customFormat="1" ht="15" customHeight="1" x14ac:dyDescent="0.25">
      <c r="A24" s="29"/>
      <c r="B24" s="84" t="s">
        <v>69</v>
      </c>
      <c r="C24" s="85"/>
      <c r="D24" s="85"/>
      <c r="E24" s="85"/>
      <c r="F24" s="86"/>
      <c r="G24" s="108"/>
      <c r="H24" s="108">
        <v>3047.45</v>
      </c>
      <c r="I24" s="108">
        <v>3047.45</v>
      </c>
      <c r="J24" s="108"/>
      <c r="K24" s="108"/>
      <c r="L24" s="10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29"/>
      <c r="B25" s="82" t="s">
        <v>70</v>
      </c>
      <c r="C25" s="74"/>
      <c r="D25" s="74"/>
      <c r="E25" s="74"/>
      <c r="F25" s="74"/>
      <c r="G25" s="108">
        <f>G16+G24</f>
        <v>-2612.9899999999998</v>
      </c>
      <c r="H25" s="108">
        <f>H16+H24</f>
        <v>0</v>
      </c>
      <c r="I25" s="108">
        <f>I16+I24</f>
        <v>0</v>
      </c>
      <c r="J25" s="108">
        <f>J16+J24</f>
        <v>-671.95</v>
      </c>
      <c r="K25" s="108"/>
      <c r="L25" s="108"/>
    </row>
    <row r="26" spans="1:43" ht="15.75" x14ac:dyDescent="0.25">
      <c r="B26" s="14"/>
      <c r="C26" s="15"/>
      <c r="D26" s="15"/>
      <c r="E26" s="15"/>
      <c r="F26" s="15"/>
      <c r="G26" s="16"/>
      <c r="H26" s="16"/>
      <c r="I26" s="16"/>
      <c r="J26" s="16"/>
      <c r="K26" s="16"/>
    </row>
    <row r="27" spans="1:43" ht="15.75" x14ac:dyDescent="0.25">
      <c r="B27" s="89" t="s">
        <v>78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43" ht="15.75" x14ac:dyDescent="0.25">
      <c r="B28" s="14"/>
      <c r="C28" s="15"/>
      <c r="D28" s="15"/>
      <c r="E28" s="15"/>
      <c r="F28" s="15"/>
      <c r="G28" s="16"/>
      <c r="H28" s="16"/>
      <c r="I28" s="16"/>
      <c r="J28" s="16"/>
      <c r="K28" s="16"/>
    </row>
    <row r="29" spans="1:43" ht="15" customHeight="1" x14ac:dyDescent="0.25">
      <c r="B29" s="70" t="s">
        <v>50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43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43" ht="15" customHeight="1" x14ac:dyDescent="0.25">
      <c r="B31" s="70" t="s">
        <v>71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43" ht="36.75" customHeight="1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2:12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2:12" ht="15" customHeight="1" x14ac:dyDescent="0.25">
      <c r="B34" s="81" t="s">
        <v>79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85"/>
  <sheetViews>
    <sheetView topLeftCell="B45" workbookViewId="0">
      <selection activeCell="L12" sqref="L12"/>
    </sheetView>
  </sheetViews>
  <sheetFormatPr defaultRowHeight="15" x14ac:dyDescent="0.25"/>
  <cols>
    <col min="1" max="1" width="9.140625" style="49"/>
    <col min="2" max="2" width="7.42578125" style="49" bestFit="1" customWidth="1"/>
    <col min="3" max="3" width="8.42578125" style="49" bestFit="1" customWidth="1"/>
    <col min="4" max="4" width="5.42578125" style="49" bestFit="1" customWidth="1"/>
    <col min="5" max="5" width="9.85546875" style="49" customWidth="1"/>
    <col min="6" max="6" width="44.7109375" style="49" customWidth="1"/>
    <col min="7" max="10" width="25.28515625" style="49" customWidth="1"/>
    <col min="11" max="12" width="15.7109375" style="49" customWidth="1"/>
    <col min="13" max="16384" width="9.140625" style="49"/>
  </cols>
  <sheetData>
    <row r="1" spans="2:12" ht="18" customHeight="1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2" ht="15.75" customHeight="1" x14ac:dyDescent="0.25">
      <c r="B2" s="96" t="s">
        <v>12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48"/>
      <c r="C3" s="48"/>
      <c r="D3" s="48"/>
      <c r="E3" s="48"/>
      <c r="F3" s="48"/>
      <c r="G3" s="48"/>
      <c r="H3" s="48"/>
      <c r="I3" s="48"/>
      <c r="J3" s="50"/>
      <c r="K3" s="50"/>
    </row>
    <row r="4" spans="2:12" ht="18" customHeight="1" x14ac:dyDescent="0.25">
      <c r="B4" s="96" t="s">
        <v>72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8" x14ac:dyDescent="0.25">
      <c r="B5" s="48"/>
      <c r="C5" s="48"/>
      <c r="D5" s="48"/>
      <c r="E5" s="48"/>
      <c r="F5" s="48"/>
      <c r="G5" s="48"/>
      <c r="H5" s="48"/>
      <c r="I5" s="48"/>
      <c r="J5" s="50"/>
      <c r="K5" s="50"/>
    </row>
    <row r="6" spans="2:12" ht="15.75" customHeight="1" x14ac:dyDescent="0.25">
      <c r="B6" s="96" t="s">
        <v>18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8" x14ac:dyDescent="0.25">
      <c r="B7" s="48"/>
      <c r="C7" s="48"/>
      <c r="D7" s="48"/>
      <c r="E7" s="48"/>
      <c r="F7" s="48"/>
      <c r="G7" s="48"/>
      <c r="H7" s="48"/>
      <c r="I7" s="48"/>
      <c r="J7" s="50"/>
      <c r="K7" s="50"/>
    </row>
    <row r="8" spans="2:12" ht="25.5" x14ac:dyDescent="0.25">
      <c r="B8" s="90" t="s">
        <v>7</v>
      </c>
      <c r="C8" s="91"/>
      <c r="D8" s="91"/>
      <c r="E8" s="91"/>
      <c r="F8" s="92"/>
      <c r="G8" s="47" t="s">
        <v>65</v>
      </c>
      <c r="H8" s="47" t="s">
        <v>54</v>
      </c>
      <c r="I8" s="47" t="s">
        <v>51</v>
      </c>
      <c r="J8" s="47" t="s">
        <v>66</v>
      </c>
      <c r="K8" s="47" t="s">
        <v>17</v>
      </c>
      <c r="L8" s="47" t="s">
        <v>52</v>
      </c>
    </row>
    <row r="9" spans="2:12" ht="16.5" customHeight="1" x14ac:dyDescent="0.25">
      <c r="B9" s="90">
        <v>1</v>
      </c>
      <c r="C9" s="91"/>
      <c r="D9" s="91"/>
      <c r="E9" s="91"/>
      <c r="F9" s="92"/>
      <c r="G9" s="47">
        <v>2</v>
      </c>
      <c r="H9" s="47">
        <v>3</v>
      </c>
      <c r="I9" s="47">
        <v>4</v>
      </c>
      <c r="J9" s="47">
        <v>5</v>
      </c>
      <c r="K9" s="47" t="s">
        <v>19</v>
      </c>
      <c r="L9" s="47" t="s">
        <v>20</v>
      </c>
    </row>
    <row r="10" spans="2:12" x14ac:dyDescent="0.25">
      <c r="B10" s="46"/>
      <c r="C10" s="46"/>
      <c r="D10" s="46"/>
      <c r="E10" s="46"/>
      <c r="F10" s="46" t="s">
        <v>21</v>
      </c>
      <c r="G10" s="104">
        <f>G11</f>
        <v>303318.62</v>
      </c>
      <c r="H10" s="104">
        <f>H11</f>
        <v>626315.34</v>
      </c>
      <c r="I10" s="104">
        <f t="shared" ref="I10:J10" si="0">I11</f>
        <v>631364.88</v>
      </c>
      <c r="J10" s="104">
        <f t="shared" si="0"/>
        <v>346243.77</v>
      </c>
      <c r="K10" s="102">
        <f>J10/G10</f>
        <v>1.1399999999999999</v>
      </c>
      <c r="L10" s="102">
        <f>J10/I10</f>
        <v>0.55000000000000004</v>
      </c>
    </row>
    <row r="11" spans="2:12" ht="15.75" customHeight="1" x14ac:dyDescent="0.25">
      <c r="B11" s="46">
        <v>6</v>
      </c>
      <c r="C11" s="46"/>
      <c r="D11" s="46"/>
      <c r="E11" s="46"/>
      <c r="F11" s="46" t="s">
        <v>2</v>
      </c>
      <c r="G11" s="104">
        <f>G12+G16+G19+G22</f>
        <v>303318.62</v>
      </c>
      <c r="H11" s="104">
        <f>H12+H16+H19+H22</f>
        <v>626315.34</v>
      </c>
      <c r="I11" s="104">
        <f>I12+I16+I19+I22</f>
        <v>631364.88</v>
      </c>
      <c r="J11" s="104">
        <f>J12+J16+J19+J22</f>
        <v>346243.77</v>
      </c>
      <c r="K11" s="102">
        <f t="shared" ref="K11:K24" si="1">J11/G11</f>
        <v>1.1399999999999999</v>
      </c>
      <c r="L11" s="102">
        <f t="shared" ref="L11:L24" si="2">J11/I11</f>
        <v>0.55000000000000004</v>
      </c>
    </row>
    <row r="12" spans="2:12" ht="25.5" x14ac:dyDescent="0.25">
      <c r="B12" s="46"/>
      <c r="C12" s="43">
        <v>63</v>
      </c>
      <c r="D12" s="43"/>
      <c r="E12" s="43"/>
      <c r="F12" s="43" t="s">
        <v>22</v>
      </c>
      <c r="G12" s="104">
        <f>G13</f>
        <v>248143.77</v>
      </c>
      <c r="H12" s="104">
        <f>H13</f>
        <v>522600</v>
      </c>
      <c r="I12" s="104">
        <f t="shared" ref="I12:J12" si="3">I13</f>
        <v>522600</v>
      </c>
      <c r="J12" s="104">
        <f t="shared" si="3"/>
        <v>286330.17</v>
      </c>
      <c r="K12" s="102">
        <f t="shared" si="1"/>
        <v>1.1499999999999999</v>
      </c>
      <c r="L12" s="102">
        <f t="shared" si="2"/>
        <v>0.55000000000000004</v>
      </c>
    </row>
    <row r="13" spans="2:12" ht="25.5" x14ac:dyDescent="0.25">
      <c r="B13" s="46"/>
      <c r="C13" s="43"/>
      <c r="D13" s="43">
        <v>636</v>
      </c>
      <c r="E13" s="43"/>
      <c r="F13" s="43" t="s">
        <v>82</v>
      </c>
      <c r="G13" s="104">
        <f>G14+G15</f>
        <v>248143.77</v>
      </c>
      <c r="H13" s="104">
        <f>H14+H15</f>
        <v>522600</v>
      </c>
      <c r="I13" s="104">
        <f t="shared" ref="I13:J13" si="4">I14+I15</f>
        <v>522600</v>
      </c>
      <c r="J13" s="104">
        <f t="shared" si="4"/>
        <v>286330.17</v>
      </c>
      <c r="K13" s="102">
        <f t="shared" si="1"/>
        <v>1.1499999999999999</v>
      </c>
      <c r="L13" s="102">
        <f t="shared" si="2"/>
        <v>0.55000000000000004</v>
      </c>
    </row>
    <row r="14" spans="2:12" x14ac:dyDescent="0.25">
      <c r="B14" s="51"/>
      <c r="C14" s="51"/>
      <c r="D14" s="51"/>
      <c r="E14" s="51">
        <v>6361</v>
      </c>
      <c r="F14" s="51" t="s">
        <v>80</v>
      </c>
      <c r="G14" s="105">
        <f>1869639.25/7.5345</f>
        <v>248143.77</v>
      </c>
      <c r="H14" s="105">
        <v>516800</v>
      </c>
      <c r="I14" s="105">
        <v>516800</v>
      </c>
      <c r="J14" s="106">
        <v>286330.17</v>
      </c>
      <c r="K14" s="102">
        <f t="shared" si="1"/>
        <v>1.1499999999999999</v>
      </c>
      <c r="L14" s="102">
        <f t="shared" si="2"/>
        <v>0.55000000000000004</v>
      </c>
    </row>
    <row r="15" spans="2:12" x14ac:dyDescent="0.25">
      <c r="B15" s="51"/>
      <c r="C15" s="51"/>
      <c r="D15" s="52"/>
      <c r="E15" s="52">
        <v>6362</v>
      </c>
      <c r="F15" s="52" t="s">
        <v>81</v>
      </c>
      <c r="G15" s="105"/>
      <c r="H15" s="105">
        <v>5800</v>
      </c>
      <c r="I15" s="105">
        <v>5800</v>
      </c>
      <c r="J15" s="106">
        <v>0</v>
      </c>
      <c r="K15" s="102" t="e">
        <f t="shared" si="1"/>
        <v>#DIV/0!</v>
      </c>
      <c r="L15" s="102">
        <f t="shared" si="2"/>
        <v>0</v>
      </c>
    </row>
    <row r="16" spans="2:12" ht="25.5" x14ac:dyDescent="0.25">
      <c r="B16" s="51"/>
      <c r="C16" s="51">
        <v>65</v>
      </c>
      <c r="D16" s="52"/>
      <c r="E16" s="52"/>
      <c r="F16" s="52" t="s">
        <v>85</v>
      </c>
      <c r="G16" s="104">
        <f>G17</f>
        <v>1076.3800000000001</v>
      </c>
      <c r="H16" s="104">
        <f>H17</f>
        <v>5000</v>
      </c>
      <c r="I16" s="104">
        <f t="shared" ref="I16:J17" si="5">I17</f>
        <v>5000</v>
      </c>
      <c r="J16" s="104">
        <f t="shared" si="5"/>
        <v>149.16</v>
      </c>
      <c r="K16" s="102">
        <f t="shared" si="1"/>
        <v>0.14000000000000001</v>
      </c>
      <c r="L16" s="102">
        <f t="shared" si="2"/>
        <v>0.03</v>
      </c>
    </row>
    <row r="17" spans="2:12" x14ac:dyDescent="0.25">
      <c r="B17" s="51"/>
      <c r="C17" s="51"/>
      <c r="D17" s="52">
        <v>652</v>
      </c>
      <c r="E17" s="52"/>
      <c r="F17" s="52" t="s">
        <v>84</v>
      </c>
      <c r="G17" s="104">
        <f>G18</f>
        <v>1076.3800000000001</v>
      </c>
      <c r="H17" s="104">
        <f>H18</f>
        <v>5000</v>
      </c>
      <c r="I17" s="104">
        <f t="shared" si="5"/>
        <v>5000</v>
      </c>
      <c r="J17" s="104">
        <f t="shared" si="5"/>
        <v>149.16</v>
      </c>
      <c r="K17" s="102">
        <f t="shared" si="1"/>
        <v>0.14000000000000001</v>
      </c>
      <c r="L17" s="102">
        <f t="shared" si="2"/>
        <v>0.03</v>
      </c>
    </row>
    <row r="18" spans="2:12" x14ac:dyDescent="0.25">
      <c r="B18" s="51"/>
      <c r="C18" s="51"/>
      <c r="D18" s="52"/>
      <c r="E18" s="52">
        <v>6526</v>
      </c>
      <c r="F18" s="53" t="s">
        <v>83</v>
      </c>
      <c r="G18" s="105">
        <f>8110/7.5345</f>
        <v>1076.3800000000001</v>
      </c>
      <c r="H18" s="105">
        <v>5000</v>
      </c>
      <c r="I18" s="105">
        <v>5000</v>
      </c>
      <c r="J18" s="106">
        <v>149.16</v>
      </c>
      <c r="K18" s="102">
        <f t="shared" si="1"/>
        <v>0.14000000000000001</v>
      </c>
      <c r="L18" s="102">
        <f t="shared" si="2"/>
        <v>0.03</v>
      </c>
    </row>
    <row r="19" spans="2:12" ht="25.5" x14ac:dyDescent="0.25">
      <c r="B19" s="51"/>
      <c r="C19" s="51">
        <v>66</v>
      </c>
      <c r="D19" s="52"/>
      <c r="E19" s="52"/>
      <c r="F19" s="43" t="s">
        <v>23</v>
      </c>
      <c r="G19" s="104">
        <f>G20</f>
        <v>1453.42</v>
      </c>
      <c r="H19" s="104">
        <f>H20</f>
        <v>3000</v>
      </c>
      <c r="I19" s="104">
        <f t="shared" ref="I19:J20" si="6">I20</f>
        <v>3000</v>
      </c>
      <c r="J19" s="104">
        <f t="shared" si="6"/>
        <v>2036.97</v>
      </c>
      <c r="K19" s="102">
        <f t="shared" si="1"/>
        <v>1.4</v>
      </c>
      <c r="L19" s="102">
        <f t="shared" si="2"/>
        <v>0.68</v>
      </c>
    </row>
    <row r="20" spans="2:12" ht="25.5" x14ac:dyDescent="0.25">
      <c r="B20" s="51"/>
      <c r="C20" s="54"/>
      <c r="D20" s="52">
        <v>661</v>
      </c>
      <c r="E20" s="52"/>
      <c r="F20" s="43" t="s">
        <v>24</v>
      </c>
      <c r="G20" s="104">
        <f>G21</f>
        <v>1453.42</v>
      </c>
      <c r="H20" s="104">
        <f>H21</f>
        <v>3000</v>
      </c>
      <c r="I20" s="104">
        <f t="shared" si="6"/>
        <v>3000</v>
      </c>
      <c r="J20" s="104">
        <f t="shared" si="6"/>
        <v>2036.97</v>
      </c>
      <c r="K20" s="102">
        <f t="shared" si="1"/>
        <v>1.4</v>
      </c>
      <c r="L20" s="102">
        <f t="shared" si="2"/>
        <v>0.68</v>
      </c>
    </row>
    <row r="21" spans="2:12" x14ac:dyDescent="0.25">
      <c r="B21" s="51"/>
      <c r="C21" s="54"/>
      <c r="D21" s="52"/>
      <c r="E21" s="52">
        <v>6615</v>
      </c>
      <c r="F21" s="43" t="s">
        <v>86</v>
      </c>
      <c r="G21" s="105">
        <f>10950.79/7.5345</f>
        <v>1453.42</v>
      </c>
      <c r="H21" s="105">
        <v>3000</v>
      </c>
      <c r="I21" s="105">
        <v>3000</v>
      </c>
      <c r="J21" s="106">
        <v>2036.97</v>
      </c>
      <c r="K21" s="102">
        <f t="shared" si="1"/>
        <v>1.4</v>
      </c>
      <c r="L21" s="102">
        <f t="shared" si="2"/>
        <v>0.68</v>
      </c>
    </row>
    <row r="22" spans="2:12" ht="25.5" x14ac:dyDescent="0.25">
      <c r="B22" s="51"/>
      <c r="C22" s="51">
        <v>67</v>
      </c>
      <c r="D22" s="52"/>
      <c r="E22" s="52"/>
      <c r="F22" s="51" t="s">
        <v>87</v>
      </c>
      <c r="G22" s="104">
        <f>G23</f>
        <v>52645.05</v>
      </c>
      <c r="H22" s="104">
        <f>H23</f>
        <v>95715.34</v>
      </c>
      <c r="I22" s="104">
        <f t="shared" ref="I22:J23" si="7">I23</f>
        <v>100764.88</v>
      </c>
      <c r="J22" s="104">
        <f t="shared" si="7"/>
        <v>57727.47</v>
      </c>
      <c r="K22" s="102">
        <f t="shared" si="1"/>
        <v>1.1000000000000001</v>
      </c>
      <c r="L22" s="102">
        <f t="shared" si="2"/>
        <v>0.56999999999999995</v>
      </c>
    </row>
    <row r="23" spans="2:12" ht="25.5" x14ac:dyDescent="0.25">
      <c r="B23" s="51"/>
      <c r="C23" s="51"/>
      <c r="D23" s="51">
        <v>671</v>
      </c>
      <c r="E23" s="51"/>
      <c r="F23" s="51" t="s">
        <v>88</v>
      </c>
      <c r="G23" s="104">
        <f>G24</f>
        <v>52645.05</v>
      </c>
      <c r="H23" s="104">
        <f>H24</f>
        <v>95715.34</v>
      </c>
      <c r="I23" s="104">
        <f t="shared" si="7"/>
        <v>100764.88</v>
      </c>
      <c r="J23" s="104">
        <f t="shared" si="7"/>
        <v>57727.47</v>
      </c>
      <c r="K23" s="102">
        <f t="shared" si="1"/>
        <v>1.1000000000000001</v>
      </c>
      <c r="L23" s="102">
        <f t="shared" si="2"/>
        <v>0.56999999999999995</v>
      </c>
    </row>
    <row r="24" spans="2:12" ht="25.5" x14ac:dyDescent="0.25">
      <c r="B24" s="51"/>
      <c r="C24" s="51"/>
      <c r="D24" s="51"/>
      <c r="E24" s="51">
        <v>6711</v>
      </c>
      <c r="F24" s="51" t="s">
        <v>89</v>
      </c>
      <c r="G24" s="105">
        <f>396654.15/7.5345</f>
        <v>52645.05</v>
      </c>
      <c r="H24" s="105">
        <v>95715.34</v>
      </c>
      <c r="I24" s="105">
        <v>100764.88</v>
      </c>
      <c r="J24" s="106">
        <v>57727.47</v>
      </c>
      <c r="K24" s="102">
        <f t="shared" si="1"/>
        <v>1.1000000000000001</v>
      </c>
      <c r="L24" s="102">
        <f t="shared" si="2"/>
        <v>0.56999999999999995</v>
      </c>
    </row>
    <row r="25" spans="2:12" ht="15.75" customHeight="1" x14ac:dyDescent="0.25"/>
    <row r="26" spans="2:12" ht="15.75" customHeight="1" x14ac:dyDescent="0.25">
      <c r="B26" s="48"/>
      <c r="C26" s="48"/>
      <c r="D26" s="48"/>
      <c r="E26" s="48"/>
      <c r="F26" s="48"/>
      <c r="G26" s="48"/>
      <c r="H26" s="48"/>
      <c r="I26" s="48"/>
      <c r="J26" s="50"/>
      <c r="K26" s="50"/>
      <c r="L26" s="50"/>
    </row>
    <row r="27" spans="2:12" ht="25.5" x14ac:dyDescent="0.25">
      <c r="B27" s="93" t="s">
        <v>7</v>
      </c>
      <c r="C27" s="94"/>
      <c r="D27" s="94"/>
      <c r="E27" s="94"/>
      <c r="F27" s="95"/>
      <c r="G27" s="55" t="s">
        <v>65</v>
      </c>
      <c r="H27" s="55" t="s">
        <v>54</v>
      </c>
      <c r="I27" s="55" t="s">
        <v>51</v>
      </c>
      <c r="J27" s="55" t="s">
        <v>66</v>
      </c>
      <c r="K27" s="55" t="s">
        <v>17</v>
      </c>
      <c r="L27" s="55" t="s">
        <v>52</v>
      </c>
    </row>
    <row r="28" spans="2:12" ht="12.75" customHeight="1" x14ac:dyDescent="0.25">
      <c r="B28" s="93">
        <v>1</v>
      </c>
      <c r="C28" s="94"/>
      <c r="D28" s="94"/>
      <c r="E28" s="94"/>
      <c r="F28" s="95"/>
      <c r="G28" s="55">
        <v>2</v>
      </c>
      <c r="H28" s="55">
        <v>3</v>
      </c>
      <c r="I28" s="55">
        <v>4</v>
      </c>
      <c r="J28" s="55">
        <v>5</v>
      </c>
      <c r="K28" s="55" t="s">
        <v>19</v>
      </c>
      <c r="L28" s="55" t="s">
        <v>20</v>
      </c>
    </row>
    <row r="29" spans="2:12" x14ac:dyDescent="0.25">
      <c r="B29" s="43"/>
      <c r="C29" s="43"/>
      <c r="D29" s="43"/>
      <c r="E29" s="43"/>
      <c r="F29" s="43" t="s">
        <v>8</v>
      </c>
      <c r="G29" s="45"/>
      <c r="H29" s="45"/>
      <c r="I29" s="45"/>
      <c r="J29" s="44"/>
      <c r="K29" s="44"/>
      <c r="L29" s="44"/>
    </row>
    <row r="30" spans="2:12" x14ac:dyDescent="0.25">
      <c r="B30" s="43">
        <v>3</v>
      </c>
      <c r="C30" s="43"/>
      <c r="D30" s="43"/>
      <c r="E30" s="43"/>
      <c r="F30" s="43" t="s">
        <v>3</v>
      </c>
      <c r="G30" s="104">
        <f>G31+G41+G69+G73</f>
        <v>305931.61</v>
      </c>
      <c r="H30" s="104">
        <f>H31+H41+H69+H73</f>
        <v>622866</v>
      </c>
      <c r="I30" s="104">
        <f t="shared" ref="I30:J30" si="8">I31+I41+I69+I73</f>
        <v>627915.54</v>
      </c>
      <c r="J30" s="104">
        <f t="shared" si="8"/>
        <v>346915.72</v>
      </c>
      <c r="K30" s="103">
        <f>J30/G30*100</f>
        <v>113.4</v>
      </c>
      <c r="L30" s="103">
        <f>J30/I30*100</f>
        <v>55.25</v>
      </c>
    </row>
    <row r="31" spans="2:12" x14ac:dyDescent="0.25">
      <c r="B31" s="43"/>
      <c r="C31" s="43">
        <v>31</v>
      </c>
      <c r="D31" s="43"/>
      <c r="E31" s="43"/>
      <c r="F31" s="43" t="s">
        <v>4</v>
      </c>
      <c r="G31" s="104">
        <f>SUM(G32+G36+G38)</f>
        <v>227445.11</v>
      </c>
      <c r="H31" s="104">
        <f>SUM(H32+H36+H38)</f>
        <v>449150.46</v>
      </c>
      <c r="I31" s="104">
        <f t="shared" ref="I31:J31" si="9">SUM(I32+I36+I38)</f>
        <v>454200</v>
      </c>
      <c r="J31" s="104">
        <f t="shared" si="9"/>
        <v>252523.06</v>
      </c>
      <c r="K31" s="103">
        <f t="shared" ref="K31:K82" si="10">J31/G31*100</f>
        <v>111.03</v>
      </c>
      <c r="L31" s="103">
        <f t="shared" ref="L31:L82" si="11">J31/I31*100</f>
        <v>55.6</v>
      </c>
    </row>
    <row r="32" spans="2:12" x14ac:dyDescent="0.25">
      <c r="B32" s="51"/>
      <c r="C32" s="51"/>
      <c r="D32" s="51">
        <v>311</v>
      </c>
      <c r="E32" s="51"/>
      <c r="F32" s="51" t="s">
        <v>26</v>
      </c>
      <c r="G32" s="104">
        <f t="shared" ref="G32:H32" si="12">SUM(G33:G35)</f>
        <v>188767.8</v>
      </c>
      <c r="H32" s="104">
        <f t="shared" si="12"/>
        <v>377968.07</v>
      </c>
      <c r="I32" s="104">
        <f>SUM(I33:I35)</f>
        <v>383017.61</v>
      </c>
      <c r="J32" s="104">
        <f>SUM(J33:J35)</f>
        <v>209051.83</v>
      </c>
      <c r="K32" s="103">
        <f t="shared" si="10"/>
        <v>110.75</v>
      </c>
      <c r="L32" s="103">
        <f t="shared" si="11"/>
        <v>54.58</v>
      </c>
    </row>
    <row r="33" spans="2:12" x14ac:dyDescent="0.25">
      <c r="B33" s="51"/>
      <c r="C33" s="51"/>
      <c r="D33" s="51"/>
      <c r="E33" s="51">
        <v>3111</v>
      </c>
      <c r="F33" s="51" t="s">
        <v>27</v>
      </c>
      <c r="G33" s="105">
        <f>1375396.61/7.5345</f>
        <v>182546.5</v>
      </c>
      <c r="H33" s="105">
        <v>367405.8</v>
      </c>
      <c r="I33" s="105">
        <v>372455.34</v>
      </c>
      <c r="J33" s="106">
        <v>203023.94</v>
      </c>
      <c r="K33" s="103">
        <f t="shared" si="10"/>
        <v>111.22</v>
      </c>
      <c r="L33" s="103">
        <f t="shared" si="11"/>
        <v>54.51</v>
      </c>
    </row>
    <row r="34" spans="2:12" x14ac:dyDescent="0.25">
      <c r="B34" s="51"/>
      <c r="C34" s="51"/>
      <c r="D34" s="51"/>
      <c r="E34" s="51">
        <v>3113</v>
      </c>
      <c r="F34" s="51" t="s">
        <v>90</v>
      </c>
      <c r="G34" s="105">
        <f>11060.72/7.5345</f>
        <v>1468.01</v>
      </c>
      <c r="H34" s="105">
        <v>2369.89</v>
      </c>
      <c r="I34" s="105">
        <v>2369.89</v>
      </c>
      <c r="J34" s="106">
        <v>1231.5999999999999</v>
      </c>
      <c r="K34" s="103">
        <f t="shared" si="10"/>
        <v>83.9</v>
      </c>
      <c r="L34" s="103">
        <f t="shared" si="11"/>
        <v>51.97</v>
      </c>
    </row>
    <row r="35" spans="2:12" x14ac:dyDescent="0.25">
      <c r="B35" s="51"/>
      <c r="C35" s="51"/>
      <c r="D35" s="51"/>
      <c r="E35" s="56">
        <v>3114</v>
      </c>
      <c r="F35" s="57" t="s">
        <v>91</v>
      </c>
      <c r="G35" s="105">
        <f>35813.7/7.5345</f>
        <v>4753.29</v>
      </c>
      <c r="H35" s="105">
        <v>8192.3799999999992</v>
      </c>
      <c r="I35" s="105">
        <v>8192.3799999999992</v>
      </c>
      <c r="J35" s="106">
        <v>4796.29</v>
      </c>
      <c r="K35" s="103">
        <f t="shared" si="10"/>
        <v>100.9</v>
      </c>
      <c r="L35" s="103">
        <f t="shared" si="11"/>
        <v>58.55</v>
      </c>
    </row>
    <row r="36" spans="2:12" x14ac:dyDescent="0.25">
      <c r="B36" s="51"/>
      <c r="C36" s="51"/>
      <c r="D36" s="51">
        <v>312</v>
      </c>
      <c r="E36" s="51"/>
      <c r="F36" s="58" t="s">
        <v>92</v>
      </c>
      <c r="G36" s="104">
        <f>G37</f>
        <v>7530.62</v>
      </c>
      <c r="H36" s="104">
        <f>H37</f>
        <v>8167.64</v>
      </c>
      <c r="I36" s="104">
        <f t="shared" ref="I36:J36" si="13">I37</f>
        <v>8167.64</v>
      </c>
      <c r="J36" s="104">
        <f t="shared" si="13"/>
        <v>7708.48</v>
      </c>
      <c r="K36" s="103">
        <f t="shared" si="10"/>
        <v>102.36</v>
      </c>
      <c r="L36" s="103">
        <f t="shared" si="11"/>
        <v>94.38</v>
      </c>
    </row>
    <row r="37" spans="2:12" x14ac:dyDescent="0.25">
      <c r="B37" s="51"/>
      <c r="C37" s="51"/>
      <c r="D37" s="51"/>
      <c r="E37" s="51">
        <v>3121</v>
      </c>
      <c r="F37" s="57" t="s">
        <v>92</v>
      </c>
      <c r="G37" s="105">
        <f>56739.46/7.5345</f>
        <v>7530.62</v>
      </c>
      <c r="H37" s="105">
        <v>8167.64</v>
      </c>
      <c r="I37" s="105">
        <v>8167.64</v>
      </c>
      <c r="J37" s="106">
        <v>7708.48</v>
      </c>
      <c r="K37" s="103">
        <f t="shared" si="10"/>
        <v>102.36</v>
      </c>
      <c r="L37" s="103">
        <f t="shared" si="11"/>
        <v>94.38</v>
      </c>
    </row>
    <row r="38" spans="2:12" x14ac:dyDescent="0.25">
      <c r="B38" s="51"/>
      <c r="C38" s="51"/>
      <c r="D38" s="51">
        <v>313</v>
      </c>
      <c r="E38" s="51"/>
      <c r="F38" s="59"/>
      <c r="G38" s="104">
        <f>SUM(G39:G40)</f>
        <v>31146.69</v>
      </c>
      <c r="H38" s="104">
        <f>SUM(H39:H40)</f>
        <v>63014.75</v>
      </c>
      <c r="I38" s="104">
        <f t="shared" ref="I38:J38" si="14">SUM(I39:I40)</f>
        <v>63014.75</v>
      </c>
      <c r="J38" s="104">
        <f t="shared" si="14"/>
        <v>35762.75</v>
      </c>
      <c r="K38" s="103">
        <f t="shared" si="10"/>
        <v>114.82</v>
      </c>
      <c r="L38" s="103">
        <f t="shared" si="11"/>
        <v>56.75</v>
      </c>
    </row>
    <row r="39" spans="2:12" x14ac:dyDescent="0.25">
      <c r="B39" s="51"/>
      <c r="C39" s="51"/>
      <c r="D39" s="51"/>
      <c r="E39" s="51">
        <v>3132</v>
      </c>
      <c r="F39" s="57" t="s">
        <v>93</v>
      </c>
      <c r="G39" s="105">
        <f>234674.74/7.5345</f>
        <v>31146.69</v>
      </c>
      <c r="H39" s="105">
        <v>62999.75</v>
      </c>
      <c r="I39" s="105">
        <v>62999.75</v>
      </c>
      <c r="J39" s="106">
        <v>35750.93</v>
      </c>
      <c r="K39" s="103">
        <f t="shared" si="10"/>
        <v>114.78</v>
      </c>
      <c r="L39" s="103">
        <f t="shared" si="11"/>
        <v>56.75</v>
      </c>
    </row>
    <row r="40" spans="2:12" ht="26.25" x14ac:dyDescent="0.25">
      <c r="B40" s="51"/>
      <c r="C40" s="51"/>
      <c r="D40" s="51"/>
      <c r="E40" s="51">
        <v>3133</v>
      </c>
      <c r="F40" s="57" t="s">
        <v>94</v>
      </c>
      <c r="G40" s="105"/>
      <c r="H40" s="105">
        <v>15</v>
      </c>
      <c r="I40" s="105">
        <v>15</v>
      </c>
      <c r="J40" s="106">
        <v>11.82</v>
      </c>
      <c r="K40" s="103" t="e">
        <f t="shared" si="10"/>
        <v>#DIV/0!</v>
      </c>
      <c r="L40" s="103">
        <f t="shared" si="11"/>
        <v>78.8</v>
      </c>
    </row>
    <row r="41" spans="2:12" x14ac:dyDescent="0.25">
      <c r="B41" s="51"/>
      <c r="C41" s="51">
        <v>32</v>
      </c>
      <c r="D41" s="52"/>
      <c r="E41" s="52"/>
      <c r="F41" s="51" t="s">
        <v>13</v>
      </c>
      <c r="G41" s="104">
        <f>SUM(G42+G47+G53+G62)</f>
        <v>77966.14</v>
      </c>
      <c r="H41" s="104">
        <f>SUM(H42+H47+H53+H62)</f>
        <v>166288.54</v>
      </c>
      <c r="I41" s="104">
        <f t="shared" ref="I41:J41" si="15">SUM(I42+I47+I53+I62)</f>
        <v>166288.54</v>
      </c>
      <c r="J41" s="104">
        <f t="shared" si="15"/>
        <v>90763.66</v>
      </c>
      <c r="K41" s="103">
        <f t="shared" si="10"/>
        <v>116.41</v>
      </c>
      <c r="L41" s="103">
        <f t="shared" si="11"/>
        <v>54.58</v>
      </c>
    </row>
    <row r="42" spans="2:12" x14ac:dyDescent="0.25">
      <c r="B42" s="51"/>
      <c r="C42" s="51"/>
      <c r="D42" s="51">
        <v>321</v>
      </c>
      <c r="E42" s="51"/>
      <c r="F42" s="51" t="s">
        <v>28</v>
      </c>
      <c r="G42" s="104">
        <f>SUM(G43:G46)</f>
        <v>22510.17</v>
      </c>
      <c r="H42" s="104">
        <f t="shared" ref="H42:J42" si="16">SUM(H43:H46)</f>
        <v>47311.87</v>
      </c>
      <c r="I42" s="104">
        <f t="shared" si="16"/>
        <v>47311.87</v>
      </c>
      <c r="J42" s="104">
        <f t="shared" si="16"/>
        <v>23677.87</v>
      </c>
      <c r="K42" s="103">
        <f t="shared" si="10"/>
        <v>105.19</v>
      </c>
      <c r="L42" s="103">
        <f t="shared" si="11"/>
        <v>50.05</v>
      </c>
    </row>
    <row r="43" spans="2:12" x14ac:dyDescent="0.25">
      <c r="B43" s="51"/>
      <c r="C43" s="51"/>
      <c r="D43" s="51"/>
      <c r="E43" s="51">
        <v>3211</v>
      </c>
      <c r="F43" s="51" t="s">
        <v>29</v>
      </c>
      <c r="G43" s="105">
        <f>1380/7.5345</f>
        <v>183.16</v>
      </c>
      <c r="H43" s="105">
        <v>220</v>
      </c>
      <c r="I43" s="105">
        <v>220</v>
      </c>
      <c r="J43" s="106"/>
      <c r="K43" s="103">
        <f t="shared" si="10"/>
        <v>0</v>
      </c>
      <c r="L43" s="103">
        <f t="shared" si="11"/>
        <v>0</v>
      </c>
    </row>
    <row r="44" spans="2:12" ht="26.25" x14ac:dyDescent="0.25">
      <c r="B44" s="51"/>
      <c r="C44" s="51"/>
      <c r="D44" s="52"/>
      <c r="E44" s="52">
        <v>3212</v>
      </c>
      <c r="F44" s="57" t="s">
        <v>95</v>
      </c>
      <c r="G44" s="105">
        <f>144127.85/7.5345</f>
        <v>19129.05</v>
      </c>
      <c r="H44" s="105">
        <v>46291.87</v>
      </c>
      <c r="I44" s="105">
        <v>46291.87</v>
      </c>
      <c r="J44" s="106">
        <v>22514.240000000002</v>
      </c>
      <c r="K44" s="103">
        <f t="shared" si="10"/>
        <v>117.7</v>
      </c>
      <c r="L44" s="103">
        <f t="shared" si="11"/>
        <v>48.64</v>
      </c>
    </row>
    <row r="45" spans="2:12" x14ac:dyDescent="0.25">
      <c r="B45" s="51"/>
      <c r="C45" s="51"/>
      <c r="D45" s="52"/>
      <c r="E45" s="52">
        <v>3213</v>
      </c>
      <c r="F45" s="57" t="s">
        <v>96</v>
      </c>
      <c r="G45" s="105">
        <f>23891/7.5345</f>
        <v>3170.88</v>
      </c>
      <c r="H45" s="105">
        <v>400</v>
      </c>
      <c r="I45" s="105">
        <v>400</v>
      </c>
      <c r="J45" s="106">
        <v>215.68</v>
      </c>
      <c r="K45" s="103">
        <f t="shared" si="10"/>
        <v>6.8</v>
      </c>
      <c r="L45" s="103">
        <f t="shared" si="11"/>
        <v>53.92</v>
      </c>
    </row>
    <row r="46" spans="2:12" x14ac:dyDescent="0.25">
      <c r="B46" s="51"/>
      <c r="C46" s="51"/>
      <c r="D46" s="52"/>
      <c r="E46" s="52">
        <v>3214</v>
      </c>
      <c r="F46" s="57" t="s">
        <v>97</v>
      </c>
      <c r="G46" s="105">
        <f>204/7.5345</f>
        <v>27.08</v>
      </c>
      <c r="H46" s="105">
        <v>400</v>
      </c>
      <c r="I46" s="105">
        <v>400</v>
      </c>
      <c r="J46" s="106">
        <v>947.95</v>
      </c>
      <c r="K46" s="103">
        <f t="shared" si="10"/>
        <v>3500.55</v>
      </c>
      <c r="L46" s="103">
        <f t="shared" si="11"/>
        <v>236.99</v>
      </c>
    </row>
    <row r="47" spans="2:12" x14ac:dyDescent="0.25">
      <c r="B47" s="51"/>
      <c r="C47" s="51"/>
      <c r="D47" s="52">
        <v>322</v>
      </c>
      <c r="E47" s="52"/>
      <c r="F47" s="58" t="s">
        <v>98</v>
      </c>
      <c r="G47" s="104">
        <f>SUM(G48:G52)</f>
        <v>15079.95</v>
      </c>
      <c r="H47" s="104">
        <f>SUM(H48:H52)</f>
        <v>45125.2</v>
      </c>
      <c r="I47" s="104">
        <f t="shared" ref="I47:J47" si="17">SUM(I48:I52)</f>
        <v>45125.2</v>
      </c>
      <c r="J47" s="104">
        <f t="shared" si="17"/>
        <v>22749.55</v>
      </c>
      <c r="K47" s="103">
        <f t="shared" si="10"/>
        <v>150.86000000000001</v>
      </c>
      <c r="L47" s="103">
        <f t="shared" si="11"/>
        <v>50.41</v>
      </c>
    </row>
    <row r="48" spans="2:12" x14ac:dyDescent="0.25">
      <c r="B48" s="51"/>
      <c r="C48" s="51"/>
      <c r="D48" s="52"/>
      <c r="E48" s="52">
        <v>3221</v>
      </c>
      <c r="F48" s="57" t="s">
        <v>99</v>
      </c>
      <c r="G48" s="105">
        <f>6420.96/7.5345</f>
        <v>852.21</v>
      </c>
      <c r="H48" s="105">
        <v>4224.4799999999996</v>
      </c>
      <c r="I48" s="105">
        <v>4224.4799999999996</v>
      </c>
      <c r="J48" s="106">
        <v>1328.99</v>
      </c>
      <c r="K48" s="103">
        <f t="shared" si="10"/>
        <v>155.94999999999999</v>
      </c>
      <c r="L48" s="103">
        <f t="shared" si="11"/>
        <v>31.46</v>
      </c>
    </row>
    <row r="49" spans="2:12" x14ac:dyDescent="0.25">
      <c r="B49" s="51"/>
      <c r="C49" s="51"/>
      <c r="D49" s="52"/>
      <c r="E49" s="52">
        <v>3222</v>
      </c>
      <c r="F49" s="57" t="s">
        <v>100</v>
      </c>
      <c r="G49" s="105">
        <f>15626.34/7.5345</f>
        <v>2073.9699999999998</v>
      </c>
      <c r="H49" s="105">
        <v>16357.67</v>
      </c>
      <c r="I49" s="105">
        <v>16357.67</v>
      </c>
      <c r="J49" s="106">
        <v>5144.47</v>
      </c>
      <c r="K49" s="103">
        <f t="shared" si="10"/>
        <v>248.05</v>
      </c>
      <c r="L49" s="103">
        <f t="shared" si="11"/>
        <v>31.45</v>
      </c>
    </row>
    <row r="50" spans="2:12" x14ac:dyDescent="0.25">
      <c r="B50" s="51"/>
      <c r="C50" s="51"/>
      <c r="D50" s="52"/>
      <c r="E50" s="52">
        <v>3223</v>
      </c>
      <c r="F50" s="57" t="s">
        <v>101</v>
      </c>
      <c r="G50" s="105">
        <f>90842.34/7.5345</f>
        <v>12056.85</v>
      </c>
      <c r="H50" s="105">
        <v>22646.720000000001</v>
      </c>
      <c r="I50" s="105">
        <v>22646.720000000001</v>
      </c>
      <c r="J50" s="106">
        <v>14298.75</v>
      </c>
      <c r="K50" s="103">
        <f t="shared" si="10"/>
        <v>118.59</v>
      </c>
      <c r="L50" s="103">
        <f t="shared" si="11"/>
        <v>63.14</v>
      </c>
    </row>
    <row r="51" spans="2:12" ht="26.25" x14ac:dyDescent="0.25">
      <c r="B51" s="51"/>
      <c r="C51" s="51"/>
      <c r="D51" s="52"/>
      <c r="E51" s="52">
        <v>3224</v>
      </c>
      <c r="F51" s="57" t="s">
        <v>102</v>
      </c>
      <c r="G51" s="105">
        <f>16.99/7.5345</f>
        <v>2.25</v>
      </c>
      <c r="H51" s="105">
        <v>796.33</v>
      </c>
      <c r="I51" s="105">
        <v>796.33</v>
      </c>
      <c r="J51" s="106">
        <v>347.2</v>
      </c>
      <c r="K51" s="103">
        <f t="shared" si="10"/>
        <v>15431.11</v>
      </c>
      <c r="L51" s="103">
        <f t="shared" si="11"/>
        <v>43.6</v>
      </c>
    </row>
    <row r="52" spans="2:12" x14ac:dyDescent="0.25">
      <c r="B52" s="51"/>
      <c r="C52" s="51"/>
      <c r="D52" s="52"/>
      <c r="E52" s="52">
        <v>3225</v>
      </c>
      <c r="F52" s="59" t="s">
        <v>103</v>
      </c>
      <c r="G52" s="105">
        <f>713.32/7.5345</f>
        <v>94.67</v>
      </c>
      <c r="H52" s="105">
        <v>1100</v>
      </c>
      <c r="I52" s="105">
        <v>1100</v>
      </c>
      <c r="J52" s="106">
        <v>1630.14</v>
      </c>
      <c r="K52" s="103">
        <f t="shared" si="10"/>
        <v>1721.92</v>
      </c>
      <c r="L52" s="103">
        <f t="shared" si="11"/>
        <v>148.19</v>
      </c>
    </row>
    <row r="53" spans="2:12" x14ac:dyDescent="0.25">
      <c r="B53" s="51"/>
      <c r="C53" s="51"/>
      <c r="D53" s="52">
        <v>323</v>
      </c>
      <c r="E53" s="52"/>
      <c r="F53" s="59" t="s">
        <v>104</v>
      </c>
      <c r="G53" s="104">
        <f>SUM(G54:G61)</f>
        <v>35261.15</v>
      </c>
      <c r="H53" s="104">
        <f>SUM(H54:H61)</f>
        <v>69205.94</v>
      </c>
      <c r="I53" s="104">
        <f t="shared" ref="I53:J53" si="18">SUM(I54:I61)</f>
        <v>69205.94</v>
      </c>
      <c r="J53" s="104">
        <f t="shared" si="18"/>
        <v>40063.07</v>
      </c>
      <c r="K53" s="103">
        <f t="shared" si="10"/>
        <v>113.62</v>
      </c>
      <c r="L53" s="103">
        <f t="shared" si="11"/>
        <v>57.89</v>
      </c>
    </row>
    <row r="54" spans="2:12" x14ac:dyDescent="0.25">
      <c r="B54" s="51"/>
      <c r="C54" s="51"/>
      <c r="D54" s="52"/>
      <c r="E54" s="52">
        <v>3231</v>
      </c>
      <c r="F54" s="57" t="s">
        <v>105</v>
      </c>
      <c r="G54" s="105">
        <f>188493.29/7.5345</f>
        <v>25017.360000000001</v>
      </c>
      <c r="H54" s="105">
        <v>52990.04</v>
      </c>
      <c r="I54" s="105">
        <v>52990.04</v>
      </c>
      <c r="J54" s="106">
        <v>32006.19</v>
      </c>
      <c r="K54" s="103">
        <f t="shared" si="10"/>
        <v>127.94</v>
      </c>
      <c r="L54" s="103">
        <f t="shared" si="11"/>
        <v>60.4</v>
      </c>
    </row>
    <row r="55" spans="2:12" x14ac:dyDescent="0.25">
      <c r="B55" s="51"/>
      <c r="C55" s="51"/>
      <c r="D55" s="52"/>
      <c r="E55" s="52">
        <v>3232</v>
      </c>
      <c r="F55" s="57" t="s">
        <v>106</v>
      </c>
      <c r="G55" s="105">
        <f>33732.5/7.5345</f>
        <v>4477.07</v>
      </c>
      <c r="H55" s="105">
        <v>3848.96</v>
      </c>
      <c r="I55" s="105">
        <v>3848.96</v>
      </c>
      <c r="J55" s="106">
        <v>2260.36</v>
      </c>
      <c r="K55" s="103">
        <f t="shared" si="10"/>
        <v>50.49</v>
      </c>
      <c r="L55" s="103">
        <f t="shared" si="11"/>
        <v>58.73</v>
      </c>
    </row>
    <row r="56" spans="2:12" x14ac:dyDescent="0.25">
      <c r="B56" s="51"/>
      <c r="C56" s="51"/>
      <c r="D56" s="52"/>
      <c r="E56" s="52">
        <v>3233</v>
      </c>
      <c r="F56" s="57" t="s">
        <v>107</v>
      </c>
      <c r="G56" s="105"/>
      <c r="H56" s="105">
        <v>0</v>
      </c>
      <c r="I56" s="105"/>
      <c r="J56" s="106"/>
      <c r="K56" s="103" t="e">
        <f t="shared" si="10"/>
        <v>#DIV/0!</v>
      </c>
      <c r="L56" s="103" t="e">
        <f t="shared" si="11"/>
        <v>#DIV/0!</v>
      </c>
    </row>
    <row r="57" spans="2:12" x14ac:dyDescent="0.25">
      <c r="B57" s="51"/>
      <c r="C57" s="51"/>
      <c r="D57" s="52"/>
      <c r="E57" s="52">
        <v>3234</v>
      </c>
      <c r="F57" s="57" t="s">
        <v>108</v>
      </c>
      <c r="G57" s="105">
        <f>28782.87/7.5345</f>
        <v>3820.14</v>
      </c>
      <c r="H57" s="105">
        <v>8754.08</v>
      </c>
      <c r="I57" s="105">
        <v>8754.08</v>
      </c>
      <c r="J57" s="106">
        <v>3494.16</v>
      </c>
      <c r="K57" s="103">
        <f t="shared" si="10"/>
        <v>91.47</v>
      </c>
      <c r="L57" s="103">
        <f t="shared" si="11"/>
        <v>39.909999999999997</v>
      </c>
    </row>
    <row r="58" spans="2:12" x14ac:dyDescent="0.25">
      <c r="B58" s="51"/>
      <c r="C58" s="51"/>
      <c r="D58" s="52"/>
      <c r="E58" s="52">
        <v>3236</v>
      </c>
      <c r="F58" s="57" t="s">
        <v>109</v>
      </c>
      <c r="G58" s="105">
        <f>5478.43/7.5345</f>
        <v>727.11</v>
      </c>
      <c r="H58" s="105">
        <v>1261.78</v>
      </c>
      <c r="I58" s="105">
        <v>1261.78</v>
      </c>
      <c r="J58" s="106">
        <v>306.62</v>
      </c>
      <c r="K58" s="103">
        <f t="shared" si="10"/>
        <v>42.17</v>
      </c>
      <c r="L58" s="103">
        <f t="shared" si="11"/>
        <v>24.3</v>
      </c>
    </row>
    <row r="59" spans="2:12" x14ac:dyDescent="0.25">
      <c r="B59" s="51"/>
      <c r="C59" s="51"/>
      <c r="D59" s="52"/>
      <c r="E59" s="52">
        <v>3237</v>
      </c>
      <c r="F59" s="57" t="s">
        <v>110</v>
      </c>
      <c r="G59" s="105">
        <f>1188.75/7.5345</f>
        <v>157.77000000000001</v>
      </c>
      <c r="H59" s="105">
        <v>1422.02</v>
      </c>
      <c r="I59" s="105">
        <v>1422.02</v>
      </c>
      <c r="J59" s="106">
        <v>1271.3699999999999</v>
      </c>
      <c r="K59" s="103">
        <f t="shared" si="10"/>
        <v>805.84</v>
      </c>
      <c r="L59" s="103">
        <f t="shared" si="11"/>
        <v>89.41</v>
      </c>
    </row>
    <row r="60" spans="2:12" x14ac:dyDescent="0.25">
      <c r="B60" s="51"/>
      <c r="C60" s="51"/>
      <c r="D60" s="52"/>
      <c r="E60" s="52">
        <v>3238</v>
      </c>
      <c r="F60" s="57" t="s">
        <v>111</v>
      </c>
      <c r="G60" s="105">
        <f>6689.38/7.5345</f>
        <v>887.83</v>
      </c>
      <c r="H60" s="105">
        <v>929.06</v>
      </c>
      <c r="I60" s="105">
        <v>929.06</v>
      </c>
      <c r="J60" s="106">
        <v>724.37</v>
      </c>
      <c r="K60" s="103">
        <f t="shared" si="10"/>
        <v>81.59</v>
      </c>
      <c r="L60" s="103">
        <f t="shared" si="11"/>
        <v>77.97</v>
      </c>
    </row>
    <row r="61" spans="2:12" x14ac:dyDescent="0.25">
      <c r="B61" s="51"/>
      <c r="C61" s="51"/>
      <c r="D61" s="52"/>
      <c r="E61" s="52">
        <v>3239</v>
      </c>
      <c r="F61" s="57" t="s">
        <v>112</v>
      </c>
      <c r="G61" s="105">
        <f>1310/7.5345</f>
        <v>173.87</v>
      </c>
      <c r="H61" s="105">
        <v>0</v>
      </c>
      <c r="I61" s="105"/>
      <c r="J61" s="106"/>
      <c r="K61" s="103">
        <f t="shared" si="10"/>
        <v>0</v>
      </c>
      <c r="L61" s="103" t="e">
        <f t="shared" si="11"/>
        <v>#DIV/0!</v>
      </c>
    </row>
    <row r="62" spans="2:12" x14ac:dyDescent="0.25">
      <c r="B62" s="51"/>
      <c r="C62" s="51"/>
      <c r="D62" s="52">
        <v>329</v>
      </c>
      <c r="E62" s="52"/>
      <c r="F62" s="58" t="s">
        <v>113</v>
      </c>
      <c r="G62" s="104">
        <f>SUM(G63:G68)</f>
        <v>5114.87</v>
      </c>
      <c r="H62" s="104">
        <f>SUM(H63:H68)</f>
        <v>4645.53</v>
      </c>
      <c r="I62" s="104">
        <f t="shared" ref="I62:J62" si="19">SUM(I63:I68)</f>
        <v>4645.53</v>
      </c>
      <c r="J62" s="104">
        <f t="shared" si="19"/>
        <v>4273.17</v>
      </c>
      <c r="K62" s="103">
        <f t="shared" si="10"/>
        <v>83.54</v>
      </c>
      <c r="L62" s="103">
        <f t="shared" si="11"/>
        <v>91.98</v>
      </c>
    </row>
    <row r="63" spans="2:12" x14ac:dyDescent="0.25">
      <c r="B63" s="51"/>
      <c r="C63" s="51"/>
      <c r="D63" s="52"/>
      <c r="E63" s="52">
        <v>3292</v>
      </c>
      <c r="F63" s="57" t="s">
        <v>114</v>
      </c>
      <c r="G63" s="105">
        <f>21447.62/7.5345</f>
        <v>2846.59</v>
      </c>
      <c r="H63" s="105">
        <v>2853.54</v>
      </c>
      <c r="I63" s="105">
        <v>2853.54</v>
      </c>
      <c r="J63" s="106">
        <v>2846.64</v>
      </c>
      <c r="K63" s="103">
        <f t="shared" si="10"/>
        <v>100</v>
      </c>
      <c r="L63" s="103">
        <f t="shared" si="11"/>
        <v>99.76</v>
      </c>
    </row>
    <row r="64" spans="2:12" x14ac:dyDescent="0.25">
      <c r="B64" s="51"/>
      <c r="C64" s="51"/>
      <c r="D64" s="52"/>
      <c r="E64" s="52">
        <v>3293</v>
      </c>
      <c r="F64" s="57" t="s">
        <v>115</v>
      </c>
      <c r="G64" s="105">
        <f>217.94/7.5345</f>
        <v>28.93</v>
      </c>
      <c r="H64" s="105">
        <v>159.27000000000001</v>
      </c>
      <c r="I64" s="105">
        <v>159.27000000000001</v>
      </c>
      <c r="J64" s="106"/>
      <c r="K64" s="103">
        <f t="shared" si="10"/>
        <v>0</v>
      </c>
      <c r="L64" s="103">
        <f t="shared" si="11"/>
        <v>0</v>
      </c>
    </row>
    <row r="65" spans="2:12" x14ac:dyDescent="0.25">
      <c r="B65" s="51"/>
      <c r="C65" s="51"/>
      <c r="D65" s="52"/>
      <c r="E65" s="52">
        <v>3294</v>
      </c>
      <c r="F65" s="57" t="s">
        <v>116</v>
      </c>
      <c r="G65" s="105">
        <f>400/7.5345</f>
        <v>53.09</v>
      </c>
      <c r="H65" s="105">
        <v>132.72</v>
      </c>
      <c r="I65" s="105">
        <v>132.72</v>
      </c>
      <c r="J65" s="106">
        <v>13.27</v>
      </c>
      <c r="K65" s="103">
        <f t="shared" si="10"/>
        <v>25</v>
      </c>
      <c r="L65" s="103">
        <f t="shared" si="11"/>
        <v>10</v>
      </c>
    </row>
    <row r="66" spans="2:12" x14ac:dyDescent="0.25">
      <c r="B66" s="51"/>
      <c r="C66" s="51"/>
      <c r="D66" s="52"/>
      <c r="E66" s="52">
        <v>3295</v>
      </c>
      <c r="F66" s="58" t="s">
        <v>117</v>
      </c>
      <c r="G66" s="105">
        <f>16472.4/7.5345</f>
        <v>2186.2600000000002</v>
      </c>
      <c r="H66" s="105">
        <v>900</v>
      </c>
      <c r="I66" s="105">
        <v>900</v>
      </c>
      <c r="J66" s="106">
        <v>824.43</v>
      </c>
      <c r="K66" s="103">
        <f t="shared" si="10"/>
        <v>37.71</v>
      </c>
      <c r="L66" s="103">
        <f t="shared" si="11"/>
        <v>91.6</v>
      </c>
    </row>
    <row r="67" spans="2:12" x14ac:dyDescent="0.25">
      <c r="B67" s="51"/>
      <c r="C67" s="51"/>
      <c r="D67" s="52"/>
      <c r="E67" s="52">
        <v>3296</v>
      </c>
      <c r="F67" s="57" t="s">
        <v>118</v>
      </c>
      <c r="G67" s="105"/>
      <c r="H67" s="105">
        <v>600</v>
      </c>
      <c r="I67" s="105">
        <v>600</v>
      </c>
      <c r="J67" s="106">
        <v>588.83000000000004</v>
      </c>
      <c r="K67" s="103" t="e">
        <f t="shared" si="10"/>
        <v>#DIV/0!</v>
      </c>
      <c r="L67" s="103">
        <f t="shared" si="11"/>
        <v>98.14</v>
      </c>
    </row>
    <row r="68" spans="2:12" x14ac:dyDescent="0.25">
      <c r="B68" s="51"/>
      <c r="C68" s="51"/>
      <c r="D68" s="52"/>
      <c r="E68" s="52">
        <v>3299</v>
      </c>
      <c r="F68" s="57" t="s">
        <v>113</v>
      </c>
      <c r="G68" s="105"/>
      <c r="H68" s="105">
        <v>0</v>
      </c>
      <c r="I68" s="105">
        <v>0</v>
      </c>
      <c r="J68" s="106"/>
      <c r="K68" s="103" t="e">
        <f t="shared" si="10"/>
        <v>#DIV/0!</v>
      </c>
      <c r="L68" s="103" t="e">
        <f t="shared" si="11"/>
        <v>#DIV/0!</v>
      </c>
    </row>
    <row r="69" spans="2:12" x14ac:dyDescent="0.25">
      <c r="B69" s="51"/>
      <c r="C69" s="51">
        <v>34</v>
      </c>
      <c r="D69" s="52"/>
      <c r="E69" s="52"/>
      <c r="F69" s="58" t="s">
        <v>121</v>
      </c>
      <c r="G69" s="104">
        <f>G70</f>
        <v>520.36</v>
      </c>
      <c r="H69" s="104">
        <f>H70</f>
        <v>2627</v>
      </c>
      <c r="I69" s="104">
        <f t="shared" ref="I69:J69" si="20">I70</f>
        <v>2627</v>
      </c>
      <c r="J69" s="104">
        <f t="shared" si="20"/>
        <v>1623.45</v>
      </c>
      <c r="K69" s="103">
        <f t="shared" si="10"/>
        <v>311.99</v>
      </c>
      <c r="L69" s="103">
        <f t="shared" si="11"/>
        <v>61.8</v>
      </c>
    </row>
    <row r="70" spans="2:12" x14ac:dyDescent="0.25">
      <c r="B70" s="51"/>
      <c r="C70" s="51"/>
      <c r="D70" s="52">
        <v>343</v>
      </c>
      <c r="E70" s="52"/>
      <c r="F70" s="58" t="s">
        <v>120</v>
      </c>
      <c r="G70" s="104">
        <f>SUM(G71:G72)</f>
        <v>520.36</v>
      </c>
      <c r="H70" s="104">
        <f>SUM(H71:H72)</f>
        <v>2627</v>
      </c>
      <c r="I70" s="104">
        <f t="shared" ref="I70:J70" si="21">SUM(I71:I72)</f>
        <v>2627</v>
      </c>
      <c r="J70" s="104">
        <f t="shared" si="21"/>
        <v>1623.45</v>
      </c>
      <c r="K70" s="103">
        <f t="shared" si="10"/>
        <v>311.99</v>
      </c>
      <c r="L70" s="103">
        <f t="shared" si="11"/>
        <v>61.8</v>
      </c>
    </row>
    <row r="71" spans="2:12" x14ac:dyDescent="0.25">
      <c r="B71" s="51"/>
      <c r="C71" s="51"/>
      <c r="D71" s="52"/>
      <c r="E71" s="52">
        <v>3431</v>
      </c>
      <c r="F71" s="57" t="s">
        <v>119</v>
      </c>
      <c r="G71" s="105">
        <f>3688.93/7.5345</f>
        <v>489.61</v>
      </c>
      <c r="H71" s="105">
        <v>627</v>
      </c>
      <c r="I71" s="105">
        <v>627</v>
      </c>
      <c r="J71" s="106">
        <v>436.85</v>
      </c>
      <c r="K71" s="103">
        <f t="shared" si="10"/>
        <v>89.22</v>
      </c>
      <c r="L71" s="103">
        <f t="shared" si="11"/>
        <v>69.67</v>
      </c>
    </row>
    <row r="72" spans="2:12" x14ac:dyDescent="0.25">
      <c r="B72" s="51"/>
      <c r="C72" s="51"/>
      <c r="D72" s="52"/>
      <c r="E72" s="52">
        <v>3433</v>
      </c>
      <c r="F72" s="57" t="s">
        <v>122</v>
      </c>
      <c r="G72" s="105">
        <f>231.66/7.5345</f>
        <v>30.75</v>
      </c>
      <c r="H72" s="105">
        <v>2000</v>
      </c>
      <c r="I72" s="105">
        <v>2000</v>
      </c>
      <c r="J72" s="106">
        <v>1186.5999999999999</v>
      </c>
      <c r="K72" s="103">
        <f t="shared" si="10"/>
        <v>3858.86</v>
      </c>
      <c r="L72" s="103">
        <f t="shared" si="11"/>
        <v>59.33</v>
      </c>
    </row>
    <row r="73" spans="2:12" ht="26.25" x14ac:dyDescent="0.25">
      <c r="B73" s="51"/>
      <c r="C73" s="51">
        <v>37</v>
      </c>
      <c r="D73" s="52"/>
      <c r="E73" s="52"/>
      <c r="F73" s="58" t="s">
        <v>126</v>
      </c>
      <c r="G73" s="104">
        <f>G74</f>
        <v>0</v>
      </c>
      <c r="H73" s="104">
        <f>H74</f>
        <v>4800</v>
      </c>
      <c r="I73" s="104">
        <f t="shared" ref="I73:J73" si="22">I74</f>
        <v>4800</v>
      </c>
      <c r="J73" s="104">
        <f t="shared" si="22"/>
        <v>2005.55</v>
      </c>
      <c r="K73" s="103" t="e">
        <f t="shared" si="10"/>
        <v>#DIV/0!</v>
      </c>
      <c r="L73" s="103">
        <f t="shared" si="11"/>
        <v>41.78</v>
      </c>
    </row>
    <row r="74" spans="2:12" ht="26.25" x14ac:dyDescent="0.25">
      <c r="B74" s="51"/>
      <c r="C74" s="51"/>
      <c r="D74" s="52">
        <v>372</v>
      </c>
      <c r="E74" s="52"/>
      <c r="F74" s="58" t="s">
        <v>125</v>
      </c>
      <c r="G74" s="104">
        <f>SUM(G75:G76)</f>
        <v>0</v>
      </c>
      <c r="H74" s="104">
        <f>SUM(H75:H76)</f>
        <v>4800</v>
      </c>
      <c r="I74" s="104">
        <f t="shared" ref="I74:J74" si="23">SUM(I75:I76)</f>
        <v>4800</v>
      </c>
      <c r="J74" s="104">
        <f t="shared" si="23"/>
        <v>2005.55</v>
      </c>
      <c r="K74" s="103" t="e">
        <f t="shared" si="10"/>
        <v>#DIV/0!</v>
      </c>
      <c r="L74" s="103">
        <f t="shared" si="11"/>
        <v>41.78</v>
      </c>
    </row>
    <row r="75" spans="2:12" x14ac:dyDescent="0.25">
      <c r="B75" s="51"/>
      <c r="C75" s="51"/>
      <c r="D75" s="52"/>
      <c r="E75" s="52">
        <v>3721</v>
      </c>
      <c r="F75" s="58" t="s">
        <v>124</v>
      </c>
      <c r="G75" s="105"/>
      <c r="H75" s="105">
        <v>0</v>
      </c>
      <c r="I75" s="105">
        <v>0</v>
      </c>
      <c r="J75" s="106"/>
      <c r="K75" s="103" t="e">
        <f t="shared" si="10"/>
        <v>#DIV/0!</v>
      </c>
      <c r="L75" s="103" t="e">
        <f t="shared" si="11"/>
        <v>#DIV/0!</v>
      </c>
    </row>
    <row r="76" spans="2:12" x14ac:dyDescent="0.25">
      <c r="B76" s="51"/>
      <c r="C76" s="51"/>
      <c r="D76" s="52"/>
      <c r="E76" s="52">
        <v>3722</v>
      </c>
      <c r="F76" s="57" t="s">
        <v>123</v>
      </c>
      <c r="G76" s="105"/>
      <c r="H76" s="105">
        <v>4800</v>
      </c>
      <c r="I76" s="105">
        <v>4800</v>
      </c>
      <c r="J76" s="106">
        <f>1985.55+20</f>
        <v>2005.55</v>
      </c>
      <c r="K76" s="103" t="e">
        <f t="shared" si="10"/>
        <v>#DIV/0!</v>
      </c>
      <c r="L76" s="103">
        <f t="shared" si="11"/>
        <v>41.78</v>
      </c>
    </row>
    <row r="77" spans="2:12" x14ac:dyDescent="0.25">
      <c r="B77" s="43">
        <v>4</v>
      </c>
      <c r="C77" s="43"/>
      <c r="D77" s="43"/>
      <c r="E77" s="43"/>
      <c r="F77" s="60" t="s">
        <v>5</v>
      </c>
      <c r="G77" s="104">
        <f>G78</f>
        <v>0</v>
      </c>
      <c r="H77" s="104">
        <f>H78</f>
        <v>6496.79</v>
      </c>
      <c r="I77" s="104">
        <f t="shared" ref="I77:J77" si="24">I78</f>
        <v>6496.79</v>
      </c>
      <c r="J77" s="104">
        <f t="shared" si="24"/>
        <v>0</v>
      </c>
      <c r="K77" s="103" t="e">
        <f t="shared" si="10"/>
        <v>#DIV/0!</v>
      </c>
      <c r="L77" s="103">
        <f t="shared" si="11"/>
        <v>0</v>
      </c>
    </row>
    <row r="78" spans="2:12" ht="25.5" x14ac:dyDescent="0.25">
      <c r="B78" s="43"/>
      <c r="C78" s="43">
        <v>42</v>
      </c>
      <c r="D78" s="43"/>
      <c r="E78" s="43"/>
      <c r="F78" s="60" t="s">
        <v>6</v>
      </c>
      <c r="G78" s="104">
        <f>G79+G81</f>
        <v>0</v>
      </c>
      <c r="H78" s="104">
        <f>H79+H81</f>
        <v>6496.79</v>
      </c>
      <c r="I78" s="104">
        <f t="shared" ref="I78:J78" si="25">I79+I81</f>
        <v>6496.79</v>
      </c>
      <c r="J78" s="104">
        <f t="shared" si="25"/>
        <v>0</v>
      </c>
      <c r="K78" s="103" t="e">
        <f t="shared" si="10"/>
        <v>#DIV/0!</v>
      </c>
      <c r="L78" s="103">
        <f t="shared" si="11"/>
        <v>0</v>
      </c>
    </row>
    <row r="79" spans="2:12" x14ac:dyDescent="0.25">
      <c r="B79" s="43"/>
      <c r="C79" s="43"/>
      <c r="D79" s="51">
        <v>422</v>
      </c>
      <c r="E79" s="51"/>
      <c r="F79" s="58" t="s">
        <v>130</v>
      </c>
      <c r="G79" s="104">
        <f>G80</f>
        <v>0</v>
      </c>
      <c r="H79" s="104">
        <f>H80</f>
        <v>696.79</v>
      </c>
      <c r="I79" s="104">
        <f t="shared" ref="I79:J79" si="26">I80</f>
        <v>696.79</v>
      </c>
      <c r="J79" s="104">
        <f t="shared" si="26"/>
        <v>0</v>
      </c>
      <c r="K79" s="103" t="e">
        <f t="shared" si="10"/>
        <v>#DIV/0!</v>
      </c>
      <c r="L79" s="103">
        <f t="shared" si="11"/>
        <v>0</v>
      </c>
    </row>
    <row r="80" spans="2:12" x14ac:dyDescent="0.25">
      <c r="B80" s="43"/>
      <c r="C80" s="43"/>
      <c r="D80" s="51"/>
      <c r="E80" s="51">
        <v>4221</v>
      </c>
      <c r="F80" s="57" t="s">
        <v>129</v>
      </c>
      <c r="G80" s="105"/>
      <c r="H80" s="105">
        <v>696.79</v>
      </c>
      <c r="I80" s="105">
        <v>696.79</v>
      </c>
      <c r="J80" s="106"/>
      <c r="K80" s="103" t="e">
        <f t="shared" si="10"/>
        <v>#DIV/0!</v>
      </c>
      <c r="L80" s="103">
        <f t="shared" si="11"/>
        <v>0</v>
      </c>
    </row>
    <row r="81" spans="2:12" x14ac:dyDescent="0.25">
      <c r="B81" s="43"/>
      <c r="C81" s="43"/>
      <c r="D81" s="51">
        <v>424</v>
      </c>
      <c r="E81" s="51"/>
      <c r="F81" s="58" t="s">
        <v>128</v>
      </c>
      <c r="G81" s="104">
        <f>G82</f>
        <v>0</v>
      </c>
      <c r="H81" s="104">
        <f>H82</f>
        <v>5800</v>
      </c>
      <c r="I81" s="104">
        <f t="shared" ref="I81:J81" si="27">I82</f>
        <v>5800</v>
      </c>
      <c r="J81" s="104">
        <f t="shared" si="27"/>
        <v>0</v>
      </c>
      <c r="K81" s="103" t="e">
        <f t="shared" si="10"/>
        <v>#DIV/0!</v>
      </c>
      <c r="L81" s="103">
        <f t="shared" si="11"/>
        <v>0</v>
      </c>
    </row>
    <row r="82" spans="2:12" x14ac:dyDescent="0.25">
      <c r="B82" s="43"/>
      <c r="C82" s="43"/>
      <c r="D82" s="51"/>
      <c r="E82" s="51">
        <v>4241</v>
      </c>
      <c r="F82" s="57" t="s">
        <v>127</v>
      </c>
      <c r="G82" s="105"/>
      <c r="H82" s="105">
        <v>5800</v>
      </c>
      <c r="I82" s="105">
        <v>5800</v>
      </c>
      <c r="J82" s="106"/>
      <c r="K82" s="103" t="e">
        <f t="shared" si="10"/>
        <v>#DIV/0!</v>
      </c>
      <c r="L82" s="103">
        <f t="shared" si="11"/>
        <v>0</v>
      </c>
    </row>
    <row r="83" spans="2:12" x14ac:dyDescent="0.25">
      <c r="B83" s="43"/>
      <c r="C83" s="43"/>
      <c r="D83" s="61"/>
      <c r="E83" s="61"/>
      <c r="F83" s="61"/>
      <c r="G83" s="62"/>
      <c r="H83" s="62"/>
      <c r="I83" s="45"/>
      <c r="J83" s="63"/>
      <c r="K83" s="63"/>
      <c r="L83" s="63"/>
    </row>
    <row r="84" spans="2:12" x14ac:dyDescent="0.25">
      <c r="B84" s="43"/>
      <c r="C84" s="43"/>
      <c r="D84" s="61"/>
      <c r="E84" s="61"/>
      <c r="F84" s="61"/>
      <c r="G84" s="62"/>
      <c r="H84" s="62"/>
      <c r="I84" s="45"/>
      <c r="J84" s="63"/>
      <c r="K84" s="63"/>
      <c r="L84" s="63"/>
    </row>
    <row r="85" spans="2:12" x14ac:dyDescent="0.25">
      <c r="B85" s="43"/>
      <c r="C85" s="43" t="s">
        <v>16</v>
      </c>
      <c r="D85" s="61"/>
      <c r="E85" s="61"/>
      <c r="F85" s="61"/>
      <c r="G85" s="62"/>
      <c r="H85" s="62"/>
      <c r="I85" s="45"/>
      <c r="J85" s="63"/>
      <c r="K85" s="63"/>
      <c r="L85" s="63"/>
    </row>
  </sheetData>
  <mergeCells count="7">
    <mergeCell ref="B8:F8"/>
    <mergeCell ref="B9:F9"/>
    <mergeCell ref="B27:F27"/>
    <mergeCell ref="B28:F28"/>
    <mergeCell ref="B2:L2"/>
    <mergeCell ref="B4:L4"/>
    <mergeCell ref="B6:L6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9"/>
  <sheetViews>
    <sheetView workbookViewId="0">
      <selection activeCell="E20" sqref="E2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64" t="s">
        <v>39</v>
      </c>
      <c r="C2" s="64"/>
      <c r="D2" s="64"/>
      <c r="E2" s="64"/>
      <c r="F2" s="64"/>
      <c r="G2" s="64"/>
      <c r="H2" s="64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0" t="s">
        <v>7</v>
      </c>
      <c r="C4" s="40" t="s">
        <v>65</v>
      </c>
      <c r="D4" s="40" t="s">
        <v>54</v>
      </c>
      <c r="E4" s="40" t="s">
        <v>51</v>
      </c>
      <c r="F4" s="40" t="s">
        <v>66</v>
      </c>
      <c r="G4" s="40" t="s">
        <v>17</v>
      </c>
      <c r="H4" s="40" t="s">
        <v>52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x14ac:dyDescent="0.25">
      <c r="B6" s="7" t="s">
        <v>38</v>
      </c>
      <c r="C6" s="113">
        <f>C7+C9+C11+C13+C16</f>
        <v>303318.63</v>
      </c>
      <c r="D6" s="113">
        <f t="shared" ref="D6:F6" si="0">D7+D9+D11+D13+D16</f>
        <v>626315.34</v>
      </c>
      <c r="E6" s="113">
        <f t="shared" si="0"/>
        <v>631364.88</v>
      </c>
      <c r="F6" s="113">
        <f t="shared" si="0"/>
        <v>346642.02</v>
      </c>
      <c r="G6" s="112">
        <f>F6/C6*100</f>
        <v>114.28312860308</v>
      </c>
      <c r="H6" s="112">
        <f>F6/E6*100</f>
        <v>54.903595524667097</v>
      </c>
    </row>
    <row r="7" spans="2:8" x14ac:dyDescent="0.25">
      <c r="B7" s="7" t="s">
        <v>36</v>
      </c>
      <c r="C7" s="113">
        <f>C8</f>
        <v>51571.99</v>
      </c>
      <c r="D7" s="113">
        <f t="shared" ref="D7:F7" si="1">D8</f>
        <v>95715.34</v>
      </c>
      <c r="E7" s="113">
        <f t="shared" si="1"/>
        <v>100764.88</v>
      </c>
      <c r="F7" s="113">
        <f t="shared" si="1"/>
        <v>57727.47</v>
      </c>
      <c r="G7" s="112">
        <f t="shared" ref="G7:G29" si="2">F7/C7*100</f>
        <v>111.93570385785</v>
      </c>
      <c r="H7" s="112">
        <f t="shared" ref="H7:H29" si="3">F7/E7*100</f>
        <v>57.289275787357703</v>
      </c>
    </row>
    <row r="8" spans="2:8" x14ac:dyDescent="0.25">
      <c r="B8" s="34" t="s">
        <v>35</v>
      </c>
      <c r="C8" s="114">
        <f>388569.15/7.5345</f>
        <v>51571.99</v>
      </c>
      <c r="D8" s="114">
        <v>95715.34</v>
      </c>
      <c r="E8" s="114">
        <v>100764.88</v>
      </c>
      <c r="F8" s="115">
        <v>57727.47</v>
      </c>
      <c r="G8" s="112">
        <f t="shared" si="2"/>
        <v>111.93570385785</v>
      </c>
      <c r="H8" s="112">
        <f t="shared" si="3"/>
        <v>57.289275787357703</v>
      </c>
    </row>
    <row r="9" spans="2:8" x14ac:dyDescent="0.25">
      <c r="B9" s="7" t="s">
        <v>31</v>
      </c>
      <c r="C9" s="113">
        <f>C10</f>
        <v>1453.42</v>
      </c>
      <c r="D9" s="113">
        <f t="shared" ref="D9:F9" si="4">D10</f>
        <v>3000</v>
      </c>
      <c r="E9" s="113">
        <f t="shared" si="4"/>
        <v>3000</v>
      </c>
      <c r="F9" s="113">
        <f t="shared" si="4"/>
        <v>2101.31</v>
      </c>
      <c r="G9" s="112">
        <f t="shared" si="2"/>
        <v>144.57692889873499</v>
      </c>
      <c r="H9" s="112">
        <f t="shared" si="3"/>
        <v>70.043666666666695</v>
      </c>
    </row>
    <row r="10" spans="2:8" x14ac:dyDescent="0.25">
      <c r="B10" s="32" t="s">
        <v>30</v>
      </c>
      <c r="C10" s="114">
        <f>10950.79/7.5345</f>
        <v>1453.42</v>
      </c>
      <c r="D10" s="114">
        <v>3000</v>
      </c>
      <c r="E10" s="114">
        <v>3000</v>
      </c>
      <c r="F10" s="115">
        <v>2101.31</v>
      </c>
      <c r="G10" s="112">
        <f t="shared" si="2"/>
        <v>144.57692889873499</v>
      </c>
      <c r="H10" s="112">
        <f t="shared" si="3"/>
        <v>70.043666666666695</v>
      </c>
    </row>
    <row r="11" spans="2:8" x14ac:dyDescent="0.25">
      <c r="B11" s="7" t="s">
        <v>131</v>
      </c>
      <c r="C11" s="113">
        <f>C12</f>
        <v>2149.4499999999998</v>
      </c>
      <c r="D11" s="113">
        <f t="shared" ref="D11:F11" si="5">D12</f>
        <v>5000</v>
      </c>
      <c r="E11" s="113">
        <f t="shared" si="5"/>
        <v>5000</v>
      </c>
      <c r="F11" s="113">
        <f t="shared" si="5"/>
        <v>84.82</v>
      </c>
      <c r="G11" s="112">
        <f t="shared" si="2"/>
        <v>3.9461257530996301</v>
      </c>
      <c r="H11" s="112">
        <f t="shared" si="3"/>
        <v>1.6963999999999999</v>
      </c>
    </row>
    <row r="12" spans="2:8" x14ac:dyDescent="0.25">
      <c r="B12" s="32" t="s">
        <v>132</v>
      </c>
      <c r="C12" s="114">
        <f>16195/7.5345</f>
        <v>2149.4499999999998</v>
      </c>
      <c r="D12" s="114">
        <v>5000</v>
      </c>
      <c r="E12" s="116">
        <v>5000</v>
      </c>
      <c r="F12" s="115">
        <f>39.16+45.66</f>
        <v>84.82</v>
      </c>
      <c r="G12" s="112">
        <f t="shared" si="2"/>
        <v>3.9461257530996301</v>
      </c>
      <c r="H12" s="112">
        <f t="shared" si="3"/>
        <v>1.6963999999999999</v>
      </c>
    </row>
    <row r="13" spans="2:8" x14ac:dyDescent="0.25">
      <c r="B13" s="109" t="s">
        <v>133</v>
      </c>
      <c r="C13" s="113">
        <f>C14+C15</f>
        <v>248143.77</v>
      </c>
      <c r="D13" s="113">
        <f t="shared" ref="D13:F13" si="6">D14+D15</f>
        <v>522600</v>
      </c>
      <c r="E13" s="113">
        <f t="shared" si="6"/>
        <v>522600</v>
      </c>
      <c r="F13" s="113">
        <f t="shared" si="6"/>
        <v>286330.17</v>
      </c>
      <c r="G13" s="112">
        <f t="shared" si="2"/>
        <v>115.38882076306</v>
      </c>
      <c r="H13" s="112">
        <f t="shared" si="3"/>
        <v>54.789546498277801</v>
      </c>
    </row>
    <row r="14" spans="2:8" x14ac:dyDescent="0.25">
      <c r="B14" s="110" t="s">
        <v>135</v>
      </c>
      <c r="C14" s="114"/>
      <c r="D14" s="114">
        <v>6000</v>
      </c>
      <c r="E14" s="116">
        <v>6000</v>
      </c>
      <c r="F14" s="115"/>
      <c r="G14" s="112" t="e">
        <f t="shared" si="2"/>
        <v>#DIV/0!</v>
      </c>
      <c r="H14" s="112">
        <f t="shared" si="3"/>
        <v>0</v>
      </c>
    </row>
    <row r="15" spans="2:8" x14ac:dyDescent="0.25">
      <c r="B15" s="111" t="s">
        <v>136</v>
      </c>
      <c r="C15" s="114">
        <f>1869639.25/7.5345</f>
        <v>248143.77</v>
      </c>
      <c r="D15" s="114">
        <v>516600</v>
      </c>
      <c r="E15" s="116">
        <v>516600</v>
      </c>
      <c r="F15" s="115">
        <f>284344.67+1985.5</f>
        <v>286330.17</v>
      </c>
      <c r="G15" s="112">
        <f t="shared" si="2"/>
        <v>115.38882076306</v>
      </c>
      <c r="H15" s="112">
        <f t="shared" si="3"/>
        <v>55.4258943089431</v>
      </c>
    </row>
    <row r="16" spans="2:8" x14ac:dyDescent="0.25">
      <c r="B16" s="109" t="s">
        <v>134</v>
      </c>
      <c r="C16" s="117">
        <f>C17</f>
        <v>0</v>
      </c>
      <c r="D16" s="117">
        <f t="shared" ref="D16:F16" si="7">D17</f>
        <v>0</v>
      </c>
      <c r="E16" s="117">
        <f t="shared" si="7"/>
        <v>0</v>
      </c>
      <c r="F16" s="117">
        <f t="shared" si="7"/>
        <v>398.25</v>
      </c>
      <c r="G16" s="112" t="e">
        <f t="shared" si="2"/>
        <v>#DIV/0!</v>
      </c>
      <c r="H16" s="112" t="e">
        <f t="shared" si="3"/>
        <v>#DIV/0!</v>
      </c>
    </row>
    <row r="17" spans="2:8" x14ac:dyDescent="0.25">
      <c r="B17" s="111" t="s">
        <v>137</v>
      </c>
      <c r="C17" s="115"/>
      <c r="D17" s="114"/>
      <c r="E17" s="116"/>
      <c r="F17" s="115">
        <v>398.25</v>
      </c>
      <c r="G17" s="112" t="e">
        <f t="shared" si="2"/>
        <v>#DIV/0!</v>
      </c>
      <c r="H17" s="112" t="e">
        <f t="shared" si="3"/>
        <v>#DIV/0!</v>
      </c>
    </row>
    <row r="18" spans="2:8" ht="15.75" customHeight="1" x14ac:dyDescent="0.25">
      <c r="B18" s="7" t="s">
        <v>37</v>
      </c>
      <c r="C18" s="113">
        <f>C19+C21+C23+C25+C28</f>
        <v>305931.63</v>
      </c>
      <c r="D18" s="113">
        <f t="shared" ref="D18:F18" si="8">D19+D21+D23+D25+D28</f>
        <v>629362.79</v>
      </c>
      <c r="E18" s="113">
        <f t="shared" si="8"/>
        <v>634412.32999999996</v>
      </c>
      <c r="F18" s="113">
        <f t="shared" si="8"/>
        <v>346915.72</v>
      </c>
      <c r="G18" s="112">
        <f t="shared" si="2"/>
        <v>113.396486659454</v>
      </c>
      <c r="H18" s="112">
        <f t="shared" si="3"/>
        <v>54.683004033039502</v>
      </c>
    </row>
    <row r="19" spans="2:8" ht="15.75" customHeight="1" x14ac:dyDescent="0.25">
      <c r="B19" s="7" t="s">
        <v>36</v>
      </c>
      <c r="C19" s="113">
        <f>C20</f>
        <v>51290.79</v>
      </c>
      <c r="D19" s="113">
        <f t="shared" ref="D19:F19" si="9">D20</f>
        <v>98762.79</v>
      </c>
      <c r="E19" s="113">
        <f t="shared" si="9"/>
        <v>103812.33</v>
      </c>
      <c r="F19" s="113">
        <f t="shared" si="9"/>
        <v>60557.29</v>
      </c>
      <c r="G19" s="112">
        <f t="shared" si="2"/>
        <v>118.066596361647</v>
      </c>
      <c r="H19" s="112">
        <f t="shared" si="3"/>
        <v>58.333427252812797</v>
      </c>
    </row>
    <row r="20" spans="2:8" x14ac:dyDescent="0.25">
      <c r="B20" s="34" t="s">
        <v>35</v>
      </c>
      <c r="C20" s="114">
        <f>386450.47/7.5345</f>
        <v>51290.79</v>
      </c>
      <c r="D20" s="114">
        <v>98762.79</v>
      </c>
      <c r="E20" s="121">
        <f>96988.42+627.12+696.79+5500</f>
        <v>103812.33</v>
      </c>
      <c r="F20" s="115">
        <v>60557.29</v>
      </c>
      <c r="G20" s="112">
        <f t="shared" si="2"/>
        <v>118.066596361647</v>
      </c>
      <c r="H20" s="112">
        <f t="shared" si="3"/>
        <v>58.333427252812797</v>
      </c>
    </row>
    <row r="21" spans="2:8" x14ac:dyDescent="0.25">
      <c r="B21" s="7" t="s">
        <v>31</v>
      </c>
      <c r="C21" s="113">
        <f>C22</f>
        <v>1206.4100000000001</v>
      </c>
      <c r="D21" s="113">
        <f t="shared" ref="D21:F21" si="10">D22</f>
        <v>3000</v>
      </c>
      <c r="E21" s="113">
        <f t="shared" si="10"/>
        <v>3000</v>
      </c>
      <c r="F21" s="113">
        <f t="shared" si="10"/>
        <v>1765.65</v>
      </c>
      <c r="G21" s="112">
        <f t="shared" si="2"/>
        <v>146.355716547442</v>
      </c>
      <c r="H21" s="112">
        <f t="shared" si="3"/>
        <v>58.854999999999997</v>
      </c>
    </row>
    <row r="22" spans="2:8" x14ac:dyDescent="0.25">
      <c r="B22" s="32" t="s">
        <v>30</v>
      </c>
      <c r="C22" s="114">
        <f>9089.68/7.5345</f>
        <v>1206.4100000000001</v>
      </c>
      <c r="D22" s="114">
        <v>3000</v>
      </c>
      <c r="E22" s="114">
        <f>3000</f>
        <v>3000</v>
      </c>
      <c r="F22" s="115">
        <v>1765.65</v>
      </c>
      <c r="G22" s="112">
        <f t="shared" si="2"/>
        <v>146.355716547442</v>
      </c>
      <c r="H22" s="112">
        <f t="shared" si="3"/>
        <v>58.854999999999997</v>
      </c>
    </row>
    <row r="23" spans="2:8" x14ac:dyDescent="0.25">
      <c r="B23" s="7" t="s">
        <v>131</v>
      </c>
      <c r="C23" s="113">
        <f>C24</f>
        <v>1806.41</v>
      </c>
      <c r="D23" s="113">
        <f t="shared" ref="D23:F23" si="11">D24</f>
        <v>5000</v>
      </c>
      <c r="E23" s="113">
        <f t="shared" si="11"/>
        <v>5000</v>
      </c>
      <c r="F23" s="113">
        <f t="shared" si="11"/>
        <v>102.54</v>
      </c>
      <c r="G23" s="112">
        <f t="shared" si="2"/>
        <v>5.6764521897022302</v>
      </c>
      <c r="H23" s="112">
        <f t="shared" si="3"/>
        <v>2.0508000000000002</v>
      </c>
    </row>
    <row r="24" spans="2:8" x14ac:dyDescent="0.25">
      <c r="B24" s="32" t="s">
        <v>132</v>
      </c>
      <c r="C24" s="114">
        <f>13610.36/7.5345</f>
        <v>1806.41</v>
      </c>
      <c r="D24" s="114">
        <v>5000</v>
      </c>
      <c r="E24" s="116">
        <v>5000</v>
      </c>
      <c r="F24" s="115">
        <f>102.54</f>
        <v>102.54</v>
      </c>
      <c r="G24" s="112">
        <f t="shared" si="2"/>
        <v>5.6764521897022302</v>
      </c>
      <c r="H24" s="112">
        <f t="shared" si="3"/>
        <v>2.0508000000000002</v>
      </c>
    </row>
    <row r="25" spans="2:8" x14ac:dyDescent="0.25">
      <c r="B25" s="109" t="s">
        <v>133</v>
      </c>
      <c r="C25" s="113">
        <f>C26+C27</f>
        <v>251628.02</v>
      </c>
      <c r="D25" s="113">
        <f t="shared" ref="D25:F25" si="12">D26+D27</f>
        <v>522600</v>
      </c>
      <c r="E25" s="113">
        <f t="shared" si="12"/>
        <v>522600</v>
      </c>
      <c r="F25" s="113">
        <f t="shared" si="12"/>
        <v>284490.23999999999</v>
      </c>
      <c r="G25" s="112">
        <f t="shared" si="2"/>
        <v>113.05984126887</v>
      </c>
      <c r="H25" s="112">
        <f t="shared" si="3"/>
        <v>54.4374741676234</v>
      </c>
    </row>
    <row r="26" spans="2:8" x14ac:dyDescent="0.25">
      <c r="B26" s="110" t="s">
        <v>135</v>
      </c>
      <c r="C26" s="114"/>
      <c r="D26" s="114">
        <v>6000</v>
      </c>
      <c r="E26" s="116">
        <v>6000</v>
      </c>
      <c r="F26" s="115"/>
      <c r="G26" s="112" t="e">
        <f t="shared" si="2"/>
        <v>#DIV/0!</v>
      </c>
      <c r="H26" s="112">
        <f t="shared" si="3"/>
        <v>0</v>
      </c>
    </row>
    <row r="27" spans="2:8" x14ac:dyDescent="0.25">
      <c r="B27" s="111" t="s">
        <v>136</v>
      </c>
      <c r="C27" s="114">
        <f>1895891.29/7.5345</f>
        <v>251628.02</v>
      </c>
      <c r="D27" s="114">
        <v>516600</v>
      </c>
      <c r="E27" s="116">
        <v>516600</v>
      </c>
      <c r="F27" s="115">
        <f>284075.74+414.5</f>
        <v>284490.23999999999</v>
      </c>
      <c r="G27" s="112">
        <f t="shared" si="2"/>
        <v>113.05984126887</v>
      </c>
      <c r="H27" s="112">
        <f t="shared" si="3"/>
        <v>55.069732868757299</v>
      </c>
    </row>
    <row r="28" spans="2:8" x14ac:dyDescent="0.25">
      <c r="B28" s="109" t="s">
        <v>134</v>
      </c>
      <c r="C28" s="117">
        <f>C29</f>
        <v>0</v>
      </c>
      <c r="D28" s="117">
        <f t="shared" ref="D28:F28" si="13">D29</f>
        <v>0</v>
      </c>
      <c r="E28" s="117">
        <f t="shared" si="13"/>
        <v>0</v>
      </c>
      <c r="F28" s="117">
        <f t="shared" si="13"/>
        <v>0</v>
      </c>
      <c r="G28" s="112" t="e">
        <f t="shared" si="2"/>
        <v>#DIV/0!</v>
      </c>
      <c r="H28" s="112" t="e">
        <f t="shared" si="3"/>
        <v>#DIV/0!</v>
      </c>
    </row>
    <row r="29" spans="2:8" x14ac:dyDescent="0.25">
      <c r="B29" s="111" t="s">
        <v>137</v>
      </c>
      <c r="C29" s="115"/>
      <c r="D29" s="115"/>
      <c r="E29" s="115"/>
      <c r="F29" s="115"/>
      <c r="G29" s="112" t="e">
        <f t="shared" si="2"/>
        <v>#DIV/0!</v>
      </c>
      <c r="H29" s="112" t="e">
        <f t="shared" si="3"/>
        <v>#DIV/0!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9"/>
  <sheetViews>
    <sheetView workbookViewId="0">
      <selection activeCell="E9" sqref="E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64" t="s">
        <v>48</v>
      </c>
      <c r="C2" s="64"/>
      <c r="D2" s="64"/>
      <c r="E2" s="64"/>
      <c r="F2" s="64"/>
      <c r="G2" s="64"/>
      <c r="H2" s="64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0" t="s">
        <v>7</v>
      </c>
      <c r="C4" s="40" t="s">
        <v>74</v>
      </c>
      <c r="D4" s="40" t="s">
        <v>54</v>
      </c>
      <c r="E4" s="40" t="s">
        <v>51</v>
      </c>
      <c r="F4" s="40" t="s">
        <v>75</v>
      </c>
      <c r="G4" s="40" t="s">
        <v>17</v>
      </c>
      <c r="H4" s="40" t="s">
        <v>52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ht="15.75" customHeight="1" x14ac:dyDescent="0.25">
      <c r="B6" s="7" t="s">
        <v>37</v>
      </c>
      <c r="C6" s="5"/>
      <c r="D6" s="5"/>
      <c r="E6" s="5"/>
      <c r="F6" s="30"/>
      <c r="G6" s="30"/>
      <c r="H6" s="30"/>
    </row>
    <row r="7" spans="2:8" ht="15.75" customHeight="1" x14ac:dyDescent="0.25">
      <c r="B7" s="118" t="s">
        <v>138</v>
      </c>
      <c r="C7" s="113">
        <f>SUM(C8:C9)</f>
        <v>305931.61</v>
      </c>
      <c r="D7" s="113">
        <f>SUM(D8:D9)</f>
        <v>629362.79</v>
      </c>
      <c r="E7" s="113">
        <f>SUM(E8:E9)</f>
        <v>634412.32999999996</v>
      </c>
      <c r="F7" s="113">
        <f>SUM(F8:F9)</f>
        <v>346915.72</v>
      </c>
      <c r="G7" s="112">
        <f>F7/C7*100</f>
        <v>113.39649407264599</v>
      </c>
      <c r="H7" s="112">
        <f>F7/E7*100</f>
        <v>54.683004033039502</v>
      </c>
    </row>
    <row r="8" spans="2:8" x14ac:dyDescent="0.25">
      <c r="B8" s="119" t="s">
        <v>139</v>
      </c>
      <c r="C8" s="114">
        <f>305932-C9-0.39</f>
        <v>304478.19</v>
      </c>
      <c r="D8" s="114">
        <f>629363-D9-0.21</f>
        <v>626362.79</v>
      </c>
      <c r="E8" s="114">
        <f>634412-E9+0.33</f>
        <v>631412.32999999996</v>
      </c>
      <c r="F8" s="115">
        <f>346915.72-F9</f>
        <v>344878.75</v>
      </c>
      <c r="G8" s="112">
        <f t="shared" ref="G8:G9" si="0">F8/C8*100</f>
        <v>113.268786181368</v>
      </c>
      <c r="H8" s="112">
        <f t="shared" ref="H8:H9" si="1">F8/E8*100</f>
        <v>54.6202114868425</v>
      </c>
    </row>
    <row r="9" spans="2:8" x14ac:dyDescent="0.25">
      <c r="B9" s="120" t="s">
        <v>140</v>
      </c>
      <c r="C9" s="105">
        <f>10950.79/7.5345</f>
        <v>1453.42</v>
      </c>
      <c r="D9" s="105">
        <v>3000</v>
      </c>
      <c r="E9" s="105">
        <v>3000</v>
      </c>
      <c r="F9" s="106">
        <v>2036.97</v>
      </c>
      <c r="G9" s="112">
        <f t="shared" si="0"/>
        <v>140.150128662052</v>
      </c>
      <c r="H9" s="112">
        <f t="shared" si="1"/>
        <v>67.899000000000001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B1" sqref="B1:L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5">
      <c r="B2" s="64" t="s">
        <v>73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ht="15.75" customHeight="1" x14ac:dyDescent="0.25">
      <c r="B3" s="64" t="s">
        <v>40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5">
      <c r="B5" s="97" t="s">
        <v>7</v>
      </c>
      <c r="C5" s="98"/>
      <c r="D5" s="98"/>
      <c r="E5" s="98"/>
      <c r="F5" s="99"/>
      <c r="G5" s="41" t="s">
        <v>65</v>
      </c>
      <c r="H5" s="40" t="s">
        <v>54</v>
      </c>
      <c r="I5" s="41" t="s">
        <v>53</v>
      </c>
      <c r="J5" s="41" t="s">
        <v>66</v>
      </c>
      <c r="K5" s="41" t="s">
        <v>17</v>
      </c>
      <c r="L5" s="41" t="s">
        <v>52</v>
      </c>
    </row>
    <row r="6" spans="2:12" x14ac:dyDescent="0.25">
      <c r="B6" s="97">
        <v>1</v>
      </c>
      <c r="C6" s="98"/>
      <c r="D6" s="98"/>
      <c r="E6" s="98"/>
      <c r="F6" s="99"/>
      <c r="G6" s="41">
        <v>2</v>
      </c>
      <c r="H6" s="41">
        <v>3</v>
      </c>
      <c r="I6" s="41">
        <v>4</v>
      </c>
      <c r="J6" s="41">
        <v>5</v>
      </c>
      <c r="K6" s="41" t="s">
        <v>19</v>
      </c>
      <c r="L6" s="41" t="s">
        <v>20</v>
      </c>
    </row>
    <row r="7" spans="2:12" ht="25.5" x14ac:dyDescent="0.25">
      <c r="B7" s="7">
        <v>8</v>
      </c>
      <c r="C7" s="7"/>
      <c r="D7" s="7"/>
      <c r="E7" s="7"/>
      <c r="F7" s="7" t="s">
        <v>9</v>
      </c>
      <c r="G7" s="5"/>
      <c r="H7" s="5"/>
      <c r="I7" s="5"/>
      <c r="J7" s="30"/>
      <c r="K7" s="30"/>
      <c r="L7" s="30"/>
    </row>
    <row r="8" spans="2:12" x14ac:dyDescent="0.25">
      <c r="B8" s="7"/>
      <c r="C8" s="11">
        <v>84</v>
      </c>
      <c r="D8" s="11"/>
      <c r="E8" s="11"/>
      <c r="F8" s="11" t="s">
        <v>14</v>
      </c>
      <c r="G8" s="5"/>
      <c r="H8" s="5"/>
      <c r="I8" s="5"/>
      <c r="J8" s="30"/>
      <c r="K8" s="30"/>
      <c r="L8" s="30"/>
    </row>
    <row r="9" spans="2:12" ht="51" x14ac:dyDescent="0.25">
      <c r="B9" s="8"/>
      <c r="C9" s="8"/>
      <c r="D9" s="8">
        <v>841</v>
      </c>
      <c r="E9" s="8"/>
      <c r="F9" s="31" t="s">
        <v>41</v>
      </c>
      <c r="G9" s="5"/>
      <c r="H9" s="5"/>
      <c r="I9" s="5"/>
      <c r="J9" s="30"/>
      <c r="K9" s="30"/>
      <c r="L9" s="30"/>
    </row>
    <row r="10" spans="2:12" ht="25.5" x14ac:dyDescent="0.25">
      <c r="B10" s="8"/>
      <c r="C10" s="8"/>
      <c r="D10" s="8"/>
      <c r="E10" s="8">
        <v>8413</v>
      </c>
      <c r="F10" s="31" t="s">
        <v>42</v>
      </c>
      <c r="G10" s="5"/>
      <c r="H10" s="5"/>
      <c r="I10" s="5"/>
      <c r="J10" s="30"/>
      <c r="K10" s="30"/>
      <c r="L10" s="30"/>
    </row>
    <row r="11" spans="2:12" x14ac:dyDescent="0.25">
      <c r="B11" s="8"/>
      <c r="C11" s="8"/>
      <c r="D11" s="8"/>
      <c r="E11" s="9" t="s">
        <v>25</v>
      </c>
      <c r="F11" s="13"/>
      <c r="G11" s="5"/>
      <c r="H11" s="5"/>
      <c r="I11" s="5"/>
      <c r="J11" s="30"/>
      <c r="K11" s="30"/>
      <c r="L11" s="30"/>
    </row>
    <row r="12" spans="2:12" ht="25.5" x14ac:dyDescent="0.25">
      <c r="B12" s="10">
        <v>5</v>
      </c>
      <c r="C12" s="10"/>
      <c r="D12" s="10"/>
      <c r="E12" s="10"/>
      <c r="F12" s="24" t="s">
        <v>10</v>
      </c>
      <c r="G12" s="5"/>
      <c r="H12" s="5"/>
      <c r="I12" s="5"/>
      <c r="J12" s="30"/>
      <c r="K12" s="30"/>
      <c r="L12" s="30"/>
    </row>
    <row r="13" spans="2:12" ht="25.5" x14ac:dyDescent="0.25">
      <c r="B13" s="11"/>
      <c r="C13" s="11">
        <v>54</v>
      </c>
      <c r="D13" s="11"/>
      <c r="E13" s="11"/>
      <c r="F13" s="25" t="s">
        <v>15</v>
      </c>
      <c r="G13" s="5"/>
      <c r="H13" s="5"/>
      <c r="I13" s="6"/>
      <c r="J13" s="30"/>
      <c r="K13" s="30"/>
      <c r="L13" s="30"/>
    </row>
    <row r="14" spans="2:12" ht="63.75" x14ac:dyDescent="0.25">
      <c r="B14" s="11"/>
      <c r="C14" s="11"/>
      <c r="D14" s="11">
        <v>541</v>
      </c>
      <c r="E14" s="31"/>
      <c r="F14" s="31" t="s">
        <v>43</v>
      </c>
      <c r="G14" s="5"/>
      <c r="H14" s="5"/>
      <c r="I14" s="6"/>
      <c r="J14" s="30"/>
      <c r="K14" s="30"/>
      <c r="L14" s="30"/>
    </row>
    <row r="15" spans="2:12" ht="38.25" x14ac:dyDescent="0.25">
      <c r="B15" s="11"/>
      <c r="C15" s="11"/>
      <c r="D15" s="11"/>
      <c r="E15" s="31">
        <v>5413</v>
      </c>
      <c r="F15" s="31" t="s">
        <v>44</v>
      </c>
      <c r="G15" s="5"/>
      <c r="H15" s="5"/>
      <c r="I15" s="6"/>
      <c r="J15" s="30"/>
      <c r="K15" s="30"/>
      <c r="L15" s="30"/>
    </row>
    <row r="16" spans="2:12" x14ac:dyDescent="0.25">
      <c r="B16" s="12" t="s">
        <v>16</v>
      </c>
      <c r="C16" s="10"/>
      <c r="D16" s="10"/>
      <c r="E16" s="10"/>
      <c r="F16" s="24" t="s">
        <v>25</v>
      </c>
      <c r="G16" s="5"/>
      <c r="H16" s="5"/>
      <c r="I16" s="5"/>
      <c r="J16" s="30"/>
      <c r="K16" s="30"/>
      <c r="L16" s="30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tabSelected="1" workbookViewId="0">
      <selection activeCell="B1" sqref="B1:H2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64" t="s">
        <v>45</v>
      </c>
      <c r="C2" s="64"/>
      <c r="D2" s="64"/>
      <c r="E2" s="64"/>
      <c r="F2" s="64"/>
      <c r="G2" s="64"/>
      <c r="H2" s="64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40" t="s">
        <v>7</v>
      </c>
      <c r="C4" s="40" t="s">
        <v>65</v>
      </c>
      <c r="D4" s="40" t="s">
        <v>54</v>
      </c>
      <c r="E4" s="40" t="s">
        <v>51</v>
      </c>
      <c r="F4" s="40" t="s">
        <v>66</v>
      </c>
      <c r="G4" s="40" t="s">
        <v>17</v>
      </c>
      <c r="H4" s="40" t="s">
        <v>52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19</v>
      </c>
      <c r="H5" s="40" t="s">
        <v>20</v>
      </c>
    </row>
    <row r="6" spans="2:8" x14ac:dyDescent="0.25">
      <c r="B6" s="7" t="s">
        <v>46</v>
      </c>
      <c r="C6" s="5"/>
      <c r="D6" s="5"/>
      <c r="E6" s="6"/>
      <c r="F6" s="30"/>
      <c r="G6" s="30"/>
      <c r="H6" s="30"/>
    </row>
    <row r="7" spans="2:8" x14ac:dyDescent="0.25">
      <c r="B7" s="7" t="s">
        <v>36</v>
      </c>
      <c r="C7" s="5"/>
      <c r="D7" s="5"/>
      <c r="E7" s="5"/>
      <c r="F7" s="30"/>
      <c r="G7" s="30"/>
      <c r="H7" s="30"/>
    </row>
    <row r="8" spans="2:8" x14ac:dyDescent="0.25">
      <c r="B8" s="34" t="s">
        <v>35</v>
      </c>
      <c r="C8" s="5"/>
      <c r="D8" s="5"/>
      <c r="E8" s="5"/>
      <c r="F8" s="30"/>
      <c r="G8" s="30"/>
      <c r="H8" s="30"/>
    </row>
    <row r="9" spans="2:8" x14ac:dyDescent="0.25">
      <c r="B9" s="33" t="s">
        <v>34</v>
      </c>
      <c r="C9" s="5"/>
      <c r="D9" s="5"/>
      <c r="E9" s="5"/>
      <c r="F9" s="30"/>
      <c r="G9" s="30"/>
      <c r="H9" s="30"/>
    </row>
    <row r="10" spans="2:8" x14ac:dyDescent="0.25">
      <c r="B10" s="33" t="s">
        <v>25</v>
      </c>
      <c r="C10" s="5"/>
      <c r="D10" s="5"/>
      <c r="E10" s="5"/>
      <c r="F10" s="30"/>
      <c r="G10" s="30"/>
      <c r="H10" s="30"/>
    </row>
    <row r="11" spans="2:8" x14ac:dyDescent="0.25">
      <c r="B11" s="7" t="s">
        <v>33</v>
      </c>
      <c r="C11" s="5"/>
      <c r="D11" s="5"/>
      <c r="E11" s="6"/>
      <c r="F11" s="30"/>
      <c r="G11" s="30"/>
      <c r="H11" s="30"/>
    </row>
    <row r="12" spans="2:8" x14ac:dyDescent="0.25">
      <c r="B12" s="32" t="s">
        <v>32</v>
      </c>
      <c r="C12" s="5"/>
      <c r="D12" s="5"/>
      <c r="E12" s="6"/>
      <c r="F12" s="30"/>
      <c r="G12" s="30"/>
      <c r="H12" s="30"/>
    </row>
    <row r="13" spans="2:8" x14ac:dyDescent="0.25">
      <c r="B13" s="7" t="s">
        <v>31</v>
      </c>
      <c r="C13" s="5"/>
      <c r="D13" s="5"/>
      <c r="E13" s="6"/>
      <c r="F13" s="30"/>
      <c r="G13" s="30"/>
      <c r="H13" s="30"/>
    </row>
    <row r="14" spans="2:8" x14ac:dyDescent="0.25">
      <c r="B14" s="32" t="s">
        <v>30</v>
      </c>
      <c r="C14" s="5"/>
      <c r="D14" s="5"/>
      <c r="E14" s="6"/>
      <c r="F14" s="30"/>
      <c r="G14" s="30"/>
      <c r="H14" s="30"/>
    </row>
    <row r="15" spans="2:8" x14ac:dyDescent="0.25">
      <c r="B15" s="11" t="s">
        <v>16</v>
      </c>
      <c r="C15" s="5"/>
      <c r="D15" s="5"/>
      <c r="E15" s="6"/>
      <c r="F15" s="30"/>
      <c r="G15" s="30"/>
      <c r="H15" s="30"/>
    </row>
    <row r="16" spans="2:8" x14ac:dyDescent="0.25">
      <c r="B16" s="32"/>
      <c r="C16" s="5"/>
      <c r="D16" s="5"/>
      <c r="E16" s="6"/>
      <c r="F16" s="30"/>
      <c r="G16" s="30"/>
      <c r="H16" s="30"/>
    </row>
    <row r="17" spans="2:8" ht="15.75" customHeight="1" x14ac:dyDescent="0.25">
      <c r="B17" s="7" t="s">
        <v>47</v>
      </c>
      <c r="C17" s="5"/>
      <c r="D17" s="5"/>
      <c r="E17" s="6"/>
      <c r="F17" s="30"/>
      <c r="G17" s="30"/>
      <c r="H17" s="30"/>
    </row>
    <row r="18" spans="2:8" ht="15.75" customHeight="1" x14ac:dyDescent="0.25">
      <c r="B18" s="7" t="s">
        <v>36</v>
      </c>
      <c r="C18" s="5"/>
      <c r="D18" s="5"/>
      <c r="E18" s="5"/>
      <c r="F18" s="30"/>
      <c r="G18" s="30"/>
      <c r="H18" s="30"/>
    </row>
    <row r="19" spans="2:8" x14ac:dyDescent="0.25">
      <c r="B19" s="34" t="s">
        <v>35</v>
      </c>
      <c r="C19" s="5"/>
      <c r="D19" s="5"/>
      <c r="E19" s="5"/>
      <c r="F19" s="30"/>
      <c r="G19" s="30"/>
      <c r="H19" s="30"/>
    </row>
    <row r="20" spans="2:8" x14ac:dyDescent="0.25">
      <c r="B20" s="33" t="s">
        <v>34</v>
      </c>
      <c r="C20" s="5"/>
      <c r="D20" s="5"/>
      <c r="E20" s="5"/>
      <c r="F20" s="30"/>
      <c r="G20" s="30"/>
      <c r="H20" s="30"/>
    </row>
    <row r="21" spans="2:8" x14ac:dyDescent="0.25">
      <c r="B21" s="33" t="s">
        <v>25</v>
      </c>
      <c r="C21" s="5"/>
      <c r="D21" s="5"/>
      <c r="E21" s="5"/>
      <c r="F21" s="30"/>
      <c r="G21" s="30"/>
      <c r="H21" s="30"/>
    </row>
    <row r="22" spans="2:8" x14ac:dyDescent="0.25">
      <c r="B22" s="7" t="s">
        <v>33</v>
      </c>
      <c r="C22" s="5"/>
      <c r="D22" s="5"/>
      <c r="E22" s="6"/>
      <c r="F22" s="30"/>
      <c r="G22" s="30"/>
      <c r="H22" s="30"/>
    </row>
    <row r="23" spans="2:8" x14ac:dyDescent="0.25">
      <c r="B23" s="32" t="s">
        <v>32</v>
      </c>
      <c r="C23" s="5"/>
      <c r="D23" s="5"/>
      <c r="E23" s="6"/>
      <c r="F23" s="30"/>
      <c r="G23" s="30"/>
      <c r="H23" s="30"/>
    </row>
    <row r="24" spans="2:8" x14ac:dyDescent="0.25">
      <c r="B24" s="7" t="s">
        <v>31</v>
      </c>
      <c r="C24" s="5"/>
      <c r="D24" s="5"/>
      <c r="E24" s="6"/>
      <c r="F24" s="30"/>
      <c r="G24" s="30"/>
      <c r="H24" s="30"/>
    </row>
    <row r="25" spans="2:8" x14ac:dyDescent="0.25">
      <c r="B25" s="32" t="s">
        <v>30</v>
      </c>
      <c r="C25" s="5"/>
      <c r="D25" s="5"/>
      <c r="E25" s="6"/>
      <c r="F25" s="30"/>
      <c r="G25" s="30"/>
      <c r="H25" s="30"/>
    </row>
    <row r="26" spans="2:8" x14ac:dyDescent="0.25">
      <c r="B26" s="11" t="s">
        <v>16</v>
      </c>
      <c r="C26" s="5"/>
      <c r="D26" s="5"/>
      <c r="E26" s="6"/>
      <c r="F26" s="30"/>
      <c r="G26" s="30"/>
      <c r="H26" s="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91"/>
  <sheetViews>
    <sheetView workbookViewId="0">
      <selection activeCell="E15" sqref="B6:I9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64" t="s">
        <v>11</v>
      </c>
      <c r="C2" s="100"/>
      <c r="D2" s="100"/>
      <c r="E2" s="100"/>
      <c r="F2" s="100"/>
      <c r="G2" s="100"/>
      <c r="H2" s="100"/>
      <c r="I2" s="100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01" t="s">
        <v>76</v>
      </c>
      <c r="C4" s="101"/>
      <c r="D4" s="101"/>
      <c r="E4" s="101"/>
      <c r="F4" s="101"/>
      <c r="G4" s="101"/>
      <c r="H4" s="101"/>
      <c r="I4" s="101"/>
    </row>
    <row r="5" spans="2:9" ht="18" x14ac:dyDescent="0.25">
      <c r="B5" s="2"/>
      <c r="C5" s="2"/>
      <c r="D5" s="2"/>
      <c r="E5" s="2"/>
      <c r="F5" s="2"/>
      <c r="G5" s="2"/>
      <c r="H5" s="2"/>
      <c r="I5" s="3"/>
    </row>
    <row r="6" spans="2:9" ht="25.5" x14ac:dyDescent="0.25">
      <c r="B6" s="134" t="s">
        <v>7</v>
      </c>
      <c r="C6" s="134"/>
      <c r="D6" s="134"/>
      <c r="E6" s="134"/>
      <c r="F6" s="123" t="s">
        <v>54</v>
      </c>
      <c r="G6" s="123" t="s">
        <v>51</v>
      </c>
      <c r="H6" s="123" t="s">
        <v>77</v>
      </c>
      <c r="I6" s="123" t="s">
        <v>52</v>
      </c>
    </row>
    <row r="7" spans="2:9" s="29" customFormat="1" ht="15.75" customHeight="1" x14ac:dyDescent="0.2">
      <c r="B7" s="135">
        <v>1</v>
      </c>
      <c r="C7" s="135"/>
      <c r="D7" s="135"/>
      <c r="E7" s="135"/>
      <c r="F7" s="124">
        <v>2</v>
      </c>
      <c r="G7" s="124">
        <v>3</v>
      </c>
      <c r="H7" s="124">
        <v>4</v>
      </c>
      <c r="I7" s="124" t="s">
        <v>49</v>
      </c>
    </row>
    <row r="8" spans="2:9" s="42" customFormat="1" ht="30" customHeight="1" x14ac:dyDescent="0.25">
      <c r="B8" s="136" t="s">
        <v>142</v>
      </c>
      <c r="C8" s="136"/>
      <c r="D8" s="136"/>
      <c r="E8" s="137" t="s">
        <v>141</v>
      </c>
      <c r="F8" s="138"/>
      <c r="G8" s="125"/>
      <c r="H8" s="125"/>
      <c r="I8" s="126"/>
    </row>
    <row r="9" spans="2:9" s="42" customFormat="1" ht="30" customHeight="1" x14ac:dyDescent="0.25">
      <c r="B9" s="136" t="s">
        <v>143</v>
      </c>
      <c r="C9" s="136"/>
      <c r="D9" s="136"/>
      <c r="E9" s="130" t="s">
        <v>144</v>
      </c>
      <c r="F9" s="125">
        <f>SUM(F10:F14)</f>
        <v>629362.79</v>
      </c>
      <c r="G9" s="125">
        <f>SUM(G10:G14)</f>
        <v>634412.32999999996</v>
      </c>
      <c r="H9" s="125">
        <f>SUM(H10:H14)</f>
        <v>346915.72</v>
      </c>
      <c r="I9" s="127">
        <f>H9/G9*100</f>
        <v>55</v>
      </c>
    </row>
    <row r="10" spans="2:9" s="42" customFormat="1" ht="30" customHeight="1" x14ac:dyDescent="0.25">
      <c r="B10" s="130"/>
      <c r="C10" s="130"/>
      <c r="D10" s="130">
        <v>11</v>
      </c>
      <c r="E10" s="131" t="s">
        <v>35</v>
      </c>
      <c r="F10" s="128">
        <v>98762.79</v>
      </c>
      <c r="G10" s="128">
        <f>96988.42+627.12+696.79+5500</f>
        <v>103812.33</v>
      </c>
      <c r="H10" s="122">
        <v>60557.29</v>
      </c>
      <c r="I10" s="127">
        <f t="shared" ref="I10:I73" si="0">H10/G10*100</f>
        <v>58</v>
      </c>
    </row>
    <row r="11" spans="2:9" s="42" customFormat="1" ht="30" customHeight="1" x14ac:dyDescent="0.25">
      <c r="B11" s="130"/>
      <c r="C11" s="130"/>
      <c r="D11" s="130">
        <v>31</v>
      </c>
      <c r="E11" s="132" t="s">
        <v>30</v>
      </c>
      <c r="F11" s="128">
        <v>3000</v>
      </c>
      <c r="G11" s="128">
        <f>3000</f>
        <v>3000</v>
      </c>
      <c r="H11" s="122">
        <v>1765.65</v>
      </c>
      <c r="I11" s="127">
        <f t="shared" si="0"/>
        <v>59</v>
      </c>
    </row>
    <row r="12" spans="2:9" s="42" customFormat="1" ht="30" customHeight="1" x14ac:dyDescent="0.25">
      <c r="B12" s="130"/>
      <c r="C12" s="130"/>
      <c r="D12" s="130">
        <v>43</v>
      </c>
      <c r="E12" s="132" t="s">
        <v>132</v>
      </c>
      <c r="F12" s="128">
        <v>5000</v>
      </c>
      <c r="G12" s="129">
        <v>5000</v>
      </c>
      <c r="H12" s="122">
        <f>102.54</f>
        <v>102.54</v>
      </c>
      <c r="I12" s="127">
        <f t="shared" si="0"/>
        <v>2</v>
      </c>
    </row>
    <row r="13" spans="2:9" s="42" customFormat="1" ht="30" customHeight="1" x14ac:dyDescent="0.25">
      <c r="B13" s="130"/>
      <c r="C13" s="130"/>
      <c r="D13" s="130">
        <v>51</v>
      </c>
      <c r="E13" s="130" t="s">
        <v>135</v>
      </c>
      <c r="F13" s="128">
        <v>6000</v>
      </c>
      <c r="G13" s="129">
        <v>6000</v>
      </c>
      <c r="H13" s="122"/>
      <c r="I13" s="127">
        <f t="shared" si="0"/>
        <v>0</v>
      </c>
    </row>
    <row r="14" spans="2:9" s="42" customFormat="1" ht="30" customHeight="1" x14ac:dyDescent="0.25">
      <c r="B14" s="130"/>
      <c r="C14" s="130"/>
      <c r="D14" s="130">
        <v>52</v>
      </c>
      <c r="E14" s="133" t="s">
        <v>136</v>
      </c>
      <c r="F14" s="128">
        <v>516600</v>
      </c>
      <c r="G14" s="129">
        <v>516600</v>
      </c>
      <c r="H14" s="122">
        <f>284075.74+414.5</f>
        <v>284490.23999999999</v>
      </c>
      <c r="I14" s="127">
        <f t="shared" si="0"/>
        <v>55</v>
      </c>
    </row>
    <row r="15" spans="2:9" s="42" customFormat="1" ht="30" customHeight="1" x14ac:dyDescent="0.25">
      <c r="B15" s="130"/>
      <c r="C15" s="130"/>
      <c r="D15" s="130">
        <v>61</v>
      </c>
      <c r="E15" s="133" t="s">
        <v>137</v>
      </c>
      <c r="F15" s="122">
        <v>0</v>
      </c>
      <c r="G15" s="122">
        <v>0</v>
      </c>
      <c r="H15" s="122">
        <v>0</v>
      </c>
      <c r="I15" s="126"/>
    </row>
    <row r="16" spans="2:9" s="42" customFormat="1" ht="30" customHeight="1" x14ac:dyDescent="0.25">
      <c r="B16" s="130" t="s">
        <v>148</v>
      </c>
      <c r="C16" s="130">
        <v>101</v>
      </c>
      <c r="D16" s="130"/>
      <c r="E16" s="133" t="s">
        <v>149</v>
      </c>
      <c r="F16" s="122"/>
      <c r="G16" s="122"/>
      <c r="H16" s="122"/>
      <c r="I16" s="126"/>
    </row>
    <row r="17" spans="2:9" s="42" customFormat="1" ht="30" customHeight="1" x14ac:dyDescent="0.25">
      <c r="B17" s="136" t="s">
        <v>150</v>
      </c>
      <c r="C17" s="136"/>
      <c r="D17" s="136"/>
      <c r="E17" s="130" t="s">
        <v>145</v>
      </c>
      <c r="F17" s="125"/>
      <c r="G17" s="125"/>
      <c r="H17" s="125"/>
      <c r="I17" s="126"/>
    </row>
    <row r="18" spans="2:9" s="42" customFormat="1" ht="30" customHeight="1" x14ac:dyDescent="0.25">
      <c r="B18" s="130" t="s">
        <v>151</v>
      </c>
      <c r="C18" s="130">
        <v>1021</v>
      </c>
      <c r="D18" s="130"/>
      <c r="E18" s="130" t="s">
        <v>152</v>
      </c>
      <c r="F18" s="125"/>
      <c r="G18" s="125"/>
      <c r="H18" s="125"/>
      <c r="I18" s="126"/>
    </row>
    <row r="19" spans="2:9" s="42" customFormat="1" ht="30" customHeight="1" x14ac:dyDescent="0.25">
      <c r="B19" s="136" t="s">
        <v>146</v>
      </c>
      <c r="C19" s="136"/>
      <c r="D19" s="136"/>
      <c r="E19" s="130" t="s">
        <v>147</v>
      </c>
      <c r="F19" s="125"/>
      <c r="G19" s="125"/>
      <c r="H19" s="125"/>
      <c r="I19" s="126"/>
    </row>
    <row r="20" spans="2:9" s="42" customFormat="1" ht="30" customHeight="1" x14ac:dyDescent="0.25">
      <c r="B20" s="136">
        <v>11</v>
      </c>
      <c r="C20" s="136"/>
      <c r="D20" s="136"/>
      <c r="E20" s="130" t="s">
        <v>153</v>
      </c>
      <c r="F20" s="125"/>
      <c r="G20" s="125"/>
      <c r="H20" s="125"/>
      <c r="I20" s="126"/>
    </row>
    <row r="21" spans="2:9" s="42" customFormat="1" ht="30" customHeight="1" x14ac:dyDescent="0.25">
      <c r="B21" s="130"/>
      <c r="C21" s="130">
        <v>32</v>
      </c>
      <c r="D21" s="130"/>
      <c r="E21" s="130" t="s">
        <v>154</v>
      </c>
      <c r="F21" s="125">
        <f>SUM(F22:F39)</f>
        <v>97439</v>
      </c>
      <c r="G21" s="125">
        <f>SUM(G22:G39)</f>
        <v>97439</v>
      </c>
      <c r="H21" s="125">
        <f>SUM(H22:H39)</f>
        <v>59231.91</v>
      </c>
      <c r="I21" s="127">
        <f t="shared" si="0"/>
        <v>61</v>
      </c>
    </row>
    <row r="22" spans="2:9" s="42" customFormat="1" ht="30" customHeight="1" x14ac:dyDescent="0.2">
      <c r="B22" s="130"/>
      <c r="C22" s="130"/>
      <c r="D22" s="130">
        <v>3211</v>
      </c>
      <c r="E22" s="139" t="s">
        <v>29</v>
      </c>
      <c r="F22" s="125">
        <v>220</v>
      </c>
      <c r="G22" s="125">
        <v>220</v>
      </c>
      <c r="H22" s="125"/>
      <c r="I22" s="126"/>
    </row>
    <row r="23" spans="2:9" s="42" customFormat="1" ht="30" customHeight="1" x14ac:dyDescent="0.2">
      <c r="B23" s="130"/>
      <c r="C23" s="130"/>
      <c r="D23" s="130">
        <v>3213</v>
      </c>
      <c r="E23" s="139" t="s">
        <v>96</v>
      </c>
      <c r="F23" s="125">
        <v>400</v>
      </c>
      <c r="G23" s="125">
        <v>400</v>
      </c>
      <c r="H23" s="125">
        <v>215.68</v>
      </c>
      <c r="I23" s="126"/>
    </row>
    <row r="24" spans="2:9" s="42" customFormat="1" ht="30" customHeight="1" x14ac:dyDescent="0.2">
      <c r="B24" s="130"/>
      <c r="C24" s="130"/>
      <c r="D24" s="130">
        <v>3214</v>
      </c>
      <c r="E24" s="139" t="s">
        <v>97</v>
      </c>
      <c r="F24" s="125">
        <v>200</v>
      </c>
      <c r="G24" s="125">
        <v>200</v>
      </c>
      <c r="H24" s="125">
        <v>468.59</v>
      </c>
      <c r="I24" s="126"/>
    </row>
    <row r="25" spans="2:9" s="42" customFormat="1" ht="30" customHeight="1" x14ac:dyDescent="0.2">
      <c r="B25" s="130"/>
      <c r="C25" s="130"/>
      <c r="D25" s="130">
        <v>3221</v>
      </c>
      <c r="E25" s="139" t="s">
        <v>99</v>
      </c>
      <c r="F25" s="125">
        <v>1924.48</v>
      </c>
      <c r="G25" s="125">
        <v>1924.48</v>
      </c>
      <c r="H25" s="125">
        <v>983.48</v>
      </c>
      <c r="I25" s="126"/>
    </row>
    <row r="26" spans="2:9" s="42" customFormat="1" ht="30" customHeight="1" x14ac:dyDescent="0.2">
      <c r="B26" s="130"/>
      <c r="C26" s="130"/>
      <c r="D26" s="130">
        <v>3222</v>
      </c>
      <c r="E26" s="139" t="s">
        <v>100</v>
      </c>
      <c r="F26" s="125">
        <v>700</v>
      </c>
      <c r="G26" s="125">
        <v>700</v>
      </c>
      <c r="H26" s="125">
        <v>1017.06</v>
      </c>
      <c r="I26" s="126"/>
    </row>
    <row r="27" spans="2:9" s="42" customFormat="1" ht="30" customHeight="1" x14ac:dyDescent="0.2">
      <c r="B27" s="130"/>
      <c r="C27" s="130"/>
      <c r="D27" s="130">
        <v>3223</v>
      </c>
      <c r="E27" s="139" t="s">
        <v>101</v>
      </c>
      <c r="F27" s="125">
        <v>21030.21</v>
      </c>
      <c r="G27" s="125">
        <v>21030.21</v>
      </c>
      <c r="H27" s="125">
        <v>12926.34</v>
      </c>
      <c r="I27" s="126"/>
    </row>
    <row r="28" spans="2:9" s="42" customFormat="1" ht="30" customHeight="1" x14ac:dyDescent="0.2">
      <c r="B28" s="130"/>
      <c r="C28" s="130"/>
      <c r="D28" s="130">
        <v>3224</v>
      </c>
      <c r="E28" s="139" t="s">
        <v>102</v>
      </c>
      <c r="F28" s="125">
        <v>796.33</v>
      </c>
      <c r="G28" s="125">
        <v>796.33</v>
      </c>
      <c r="H28" s="125">
        <v>347.2</v>
      </c>
      <c r="I28" s="126"/>
    </row>
    <row r="29" spans="2:9" s="42" customFormat="1" ht="30" customHeight="1" x14ac:dyDescent="0.2">
      <c r="B29" s="130"/>
      <c r="C29" s="130"/>
      <c r="D29" s="130">
        <v>3225</v>
      </c>
      <c r="E29" s="139" t="s">
        <v>103</v>
      </c>
      <c r="F29" s="125">
        <v>1100</v>
      </c>
      <c r="G29" s="125">
        <v>1100</v>
      </c>
      <c r="H29" s="125">
        <v>1630.14</v>
      </c>
      <c r="I29" s="126"/>
    </row>
    <row r="30" spans="2:9" s="42" customFormat="1" ht="30" customHeight="1" x14ac:dyDescent="0.2">
      <c r="B30" s="130"/>
      <c r="C30" s="130"/>
      <c r="D30" s="130">
        <v>3231</v>
      </c>
      <c r="E30" s="139" t="s">
        <v>105</v>
      </c>
      <c r="F30" s="125">
        <v>52198.48</v>
      </c>
      <c r="G30" s="125">
        <v>52198.48</v>
      </c>
      <c r="H30" s="125">
        <v>31591.69</v>
      </c>
      <c r="I30" s="126"/>
    </row>
    <row r="31" spans="2:9" s="42" customFormat="1" ht="30" customHeight="1" x14ac:dyDescent="0.2">
      <c r="B31" s="130"/>
      <c r="C31" s="130"/>
      <c r="D31" s="130">
        <v>3232</v>
      </c>
      <c r="E31" s="139" t="s">
        <v>106</v>
      </c>
      <c r="F31" s="125">
        <v>3848.96</v>
      </c>
      <c r="G31" s="125">
        <v>3848.96</v>
      </c>
      <c r="H31" s="125">
        <v>2260.36</v>
      </c>
      <c r="I31" s="126"/>
    </row>
    <row r="32" spans="2:9" s="42" customFormat="1" ht="30" customHeight="1" x14ac:dyDescent="0.2">
      <c r="B32" s="130"/>
      <c r="C32" s="130"/>
      <c r="D32" s="130">
        <v>3234</v>
      </c>
      <c r="E32" s="139" t="s">
        <v>108</v>
      </c>
      <c r="F32" s="125">
        <v>8754.08</v>
      </c>
      <c r="G32" s="125">
        <v>8754.08</v>
      </c>
      <c r="H32" s="125">
        <v>3417.52</v>
      </c>
      <c r="I32" s="126"/>
    </row>
    <row r="33" spans="2:9" s="42" customFormat="1" ht="30" customHeight="1" x14ac:dyDescent="0.2">
      <c r="B33" s="130"/>
      <c r="C33" s="130"/>
      <c r="D33" s="130">
        <v>3236</v>
      </c>
      <c r="E33" s="139" t="s">
        <v>109</v>
      </c>
      <c r="F33" s="125">
        <v>1211.78</v>
      </c>
      <c r="G33" s="125">
        <v>1211.78</v>
      </c>
      <c r="H33" s="125">
        <v>262.82</v>
      </c>
      <c r="I33" s="126"/>
    </row>
    <row r="34" spans="2:9" s="42" customFormat="1" ht="30" customHeight="1" x14ac:dyDescent="0.2">
      <c r="B34" s="130"/>
      <c r="C34" s="130"/>
      <c r="D34" s="130">
        <v>3237</v>
      </c>
      <c r="E34" s="139" t="s">
        <v>110</v>
      </c>
      <c r="F34" s="125">
        <v>530.09</v>
      </c>
      <c r="G34" s="125">
        <v>530.09</v>
      </c>
      <c r="H34" s="125">
        <v>540.02</v>
      </c>
      <c r="I34" s="126"/>
    </row>
    <row r="35" spans="2:9" s="42" customFormat="1" ht="30" customHeight="1" x14ac:dyDescent="0.2">
      <c r="B35" s="130"/>
      <c r="C35" s="130"/>
      <c r="D35" s="130">
        <v>3238</v>
      </c>
      <c r="E35" s="139" t="s">
        <v>111</v>
      </c>
      <c r="F35" s="125">
        <v>929.06</v>
      </c>
      <c r="G35" s="125">
        <v>929.06</v>
      </c>
      <c r="H35" s="125">
        <v>724.37</v>
      </c>
      <c r="I35" s="126"/>
    </row>
    <row r="36" spans="2:9" s="42" customFormat="1" ht="30" customHeight="1" x14ac:dyDescent="0.2">
      <c r="B36" s="130"/>
      <c r="C36" s="130"/>
      <c r="D36" s="130">
        <v>3292</v>
      </c>
      <c r="E36" s="139" t="s">
        <v>114</v>
      </c>
      <c r="F36" s="125">
        <v>2853.54</v>
      </c>
      <c r="G36" s="125">
        <v>2853.54</v>
      </c>
      <c r="H36" s="125">
        <v>2846.64</v>
      </c>
      <c r="I36" s="126"/>
    </row>
    <row r="37" spans="2:9" s="42" customFormat="1" ht="30" customHeight="1" x14ac:dyDescent="0.2">
      <c r="B37" s="130"/>
      <c r="C37" s="130"/>
      <c r="D37" s="130">
        <v>3293</v>
      </c>
      <c r="E37" s="139" t="s">
        <v>115</v>
      </c>
      <c r="F37" s="125">
        <v>159.27000000000001</v>
      </c>
      <c r="G37" s="125">
        <v>159.27000000000001</v>
      </c>
      <c r="H37" s="125"/>
      <c r="I37" s="126"/>
    </row>
    <row r="38" spans="2:9" s="42" customFormat="1" ht="30" customHeight="1" x14ac:dyDescent="0.2">
      <c r="B38" s="130"/>
      <c r="C38" s="130"/>
      <c r="D38" s="130">
        <v>3294</v>
      </c>
      <c r="E38" s="139" t="s">
        <v>116</v>
      </c>
      <c r="F38" s="125">
        <v>132.72</v>
      </c>
      <c r="G38" s="125">
        <v>132.72</v>
      </c>
      <c r="H38" s="125"/>
      <c r="I38" s="126"/>
    </row>
    <row r="39" spans="2:9" s="42" customFormat="1" ht="30" customHeight="1" x14ac:dyDescent="0.2">
      <c r="B39" s="130"/>
      <c r="C39" s="130"/>
      <c r="D39" s="130">
        <v>3295</v>
      </c>
      <c r="E39" s="139" t="s">
        <v>117</v>
      </c>
      <c r="F39" s="125">
        <v>450</v>
      </c>
      <c r="G39" s="125">
        <v>450</v>
      </c>
      <c r="H39" s="125"/>
      <c r="I39" s="126"/>
    </row>
    <row r="40" spans="2:9" s="42" customFormat="1" ht="30" customHeight="1" x14ac:dyDescent="0.2">
      <c r="B40" s="130"/>
      <c r="C40" s="130">
        <v>34</v>
      </c>
      <c r="D40" s="130"/>
      <c r="E40" s="139" t="s">
        <v>121</v>
      </c>
      <c r="F40" s="125">
        <v>627</v>
      </c>
      <c r="G40" s="125">
        <v>627</v>
      </c>
      <c r="H40" s="125">
        <f>H41</f>
        <v>436.85</v>
      </c>
      <c r="I40" s="127">
        <f t="shared" si="0"/>
        <v>70</v>
      </c>
    </row>
    <row r="41" spans="2:9" s="42" customFormat="1" ht="30" customHeight="1" x14ac:dyDescent="0.2">
      <c r="B41" s="130"/>
      <c r="C41" s="130"/>
      <c r="D41" s="130">
        <v>3431</v>
      </c>
      <c r="E41" s="139" t="s">
        <v>119</v>
      </c>
      <c r="F41" s="125">
        <v>627</v>
      </c>
      <c r="G41" s="125">
        <v>627</v>
      </c>
      <c r="H41" s="125">
        <v>436.85</v>
      </c>
      <c r="I41" s="126"/>
    </row>
    <row r="42" spans="2:9" s="42" customFormat="1" ht="30" customHeight="1" x14ac:dyDescent="0.2">
      <c r="B42" s="130">
        <v>4</v>
      </c>
      <c r="C42" s="130"/>
      <c r="D42" s="130"/>
      <c r="E42" s="139" t="s">
        <v>5</v>
      </c>
      <c r="F42" s="125">
        <v>696.79</v>
      </c>
      <c r="G42" s="125">
        <v>696.79</v>
      </c>
      <c r="H42" s="125"/>
      <c r="I42" s="126"/>
    </row>
    <row r="43" spans="2:9" s="42" customFormat="1" ht="30" customHeight="1" x14ac:dyDescent="0.2">
      <c r="B43" s="130"/>
      <c r="C43" s="130">
        <v>42</v>
      </c>
      <c r="D43" s="130"/>
      <c r="E43" s="139" t="s">
        <v>155</v>
      </c>
      <c r="F43" s="125">
        <v>696.79</v>
      </c>
      <c r="G43" s="125">
        <v>696.79</v>
      </c>
      <c r="H43" s="125"/>
      <c r="I43" s="126"/>
    </row>
    <row r="44" spans="2:9" s="42" customFormat="1" ht="30" customHeight="1" x14ac:dyDescent="0.2">
      <c r="B44" s="130"/>
      <c r="C44" s="130"/>
      <c r="D44" s="130">
        <v>4221</v>
      </c>
      <c r="E44" s="139" t="s">
        <v>129</v>
      </c>
      <c r="F44" s="125">
        <v>696.79</v>
      </c>
      <c r="G44" s="125">
        <v>696.79</v>
      </c>
      <c r="H44" s="125"/>
      <c r="I44" s="126"/>
    </row>
    <row r="45" spans="2:9" s="42" customFormat="1" ht="30" customHeight="1" x14ac:dyDescent="0.25">
      <c r="B45" s="130" t="s">
        <v>151</v>
      </c>
      <c r="C45" s="130">
        <v>57900</v>
      </c>
      <c r="D45" s="130"/>
      <c r="E45" s="130" t="s">
        <v>152</v>
      </c>
      <c r="F45" s="125"/>
      <c r="G45" s="125"/>
      <c r="H45" s="125"/>
      <c r="I45" s="126"/>
    </row>
    <row r="46" spans="2:9" s="42" customFormat="1" ht="30" customHeight="1" x14ac:dyDescent="0.25">
      <c r="B46" s="136" t="s">
        <v>156</v>
      </c>
      <c r="C46" s="136"/>
      <c r="D46" s="136"/>
      <c r="E46" s="130" t="s">
        <v>147</v>
      </c>
      <c r="F46" s="125"/>
      <c r="G46" s="125"/>
      <c r="H46" s="125"/>
      <c r="I46" s="126"/>
    </row>
    <row r="47" spans="2:9" s="42" customFormat="1" ht="30" customHeight="1" x14ac:dyDescent="0.25">
      <c r="B47" s="136">
        <v>52</v>
      </c>
      <c r="C47" s="136"/>
      <c r="D47" s="136"/>
      <c r="E47" s="130" t="s">
        <v>157</v>
      </c>
      <c r="F47" s="125"/>
      <c r="G47" s="125"/>
      <c r="H47" s="125"/>
      <c r="I47" s="126"/>
    </row>
    <row r="48" spans="2:9" s="42" customFormat="1" ht="30" customHeight="1" x14ac:dyDescent="0.2">
      <c r="B48" s="130"/>
      <c r="C48" s="130">
        <v>31</v>
      </c>
      <c r="D48" s="130"/>
      <c r="E48" s="139" t="s">
        <v>4</v>
      </c>
      <c r="F48" s="125">
        <f>SUM(F49:F54)</f>
        <v>448402.25</v>
      </c>
      <c r="G48" s="125">
        <f>SUM(G49:G54)</f>
        <v>448402.25</v>
      </c>
      <c r="H48" s="125">
        <f>SUM(H49:H54)</f>
        <v>252523.06</v>
      </c>
      <c r="I48" s="127">
        <f t="shared" si="0"/>
        <v>56</v>
      </c>
    </row>
    <row r="49" spans="2:9" s="42" customFormat="1" ht="30" customHeight="1" x14ac:dyDescent="0.2">
      <c r="B49" s="130"/>
      <c r="C49" s="130"/>
      <c r="D49" s="130">
        <v>3111</v>
      </c>
      <c r="E49" s="139" t="s">
        <v>27</v>
      </c>
      <c r="F49" s="125">
        <v>372455.34</v>
      </c>
      <c r="G49" s="125">
        <v>372455.34</v>
      </c>
      <c r="H49" s="125">
        <v>203023.94</v>
      </c>
      <c r="I49" s="126"/>
    </row>
    <row r="50" spans="2:9" s="42" customFormat="1" ht="30" customHeight="1" x14ac:dyDescent="0.2">
      <c r="B50" s="130"/>
      <c r="C50" s="130"/>
      <c r="D50" s="130">
        <v>3113</v>
      </c>
      <c r="E50" s="139" t="s">
        <v>90</v>
      </c>
      <c r="F50" s="125">
        <v>2369.89</v>
      </c>
      <c r="G50" s="125">
        <v>2369.89</v>
      </c>
      <c r="H50" s="125">
        <v>1231.5999999999999</v>
      </c>
      <c r="I50" s="126"/>
    </row>
    <row r="51" spans="2:9" s="42" customFormat="1" ht="30" customHeight="1" x14ac:dyDescent="0.2">
      <c r="B51" s="130"/>
      <c r="C51" s="130"/>
      <c r="D51" s="130">
        <v>3114</v>
      </c>
      <c r="E51" s="139" t="s">
        <v>91</v>
      </c>
      <c r="F51" s="125">
        <v>2369.89</v>
      </c>
      <c r="G51" s="125">
        <v>2369.89</v>
      </c>
      <c r="H51" s="125">
        <v>4796.29</v>
      </c>
      <c r="I51" s="126"/>
    </row>
    <row r="52" spans="2:9" s="42" customFormat="1" ht="30" customHeight="1" x14ac:dyDescent="0.2">
      <c r="B52" s="130"/>
      <c r="C52" s="130"/>
      <c r="D52" s="130">
        <v>3121</v>
      </c>
      <c r="E52" s="139" t="s">
        <v>92</v>
      </c>
      <c r="F52" s="125">
        <v>8192.3799999999992</v>
      </c>
      <c r="G52" s="125">
        <v>8192.3799999999992</v>
      </c>
      <c r="H52" s="125">
        <v>7708.48</v>
      </c>
      <c r="I52" s="126"/>
    </row>
    <row r="53" spans="2:9" s="42" customFormat="1" ht="30" customHeight="1" x14ac:dyDescent="0.2">
      <c r="B53" s="130"/>
      <c r="C53" s="130"/>
      <c r="D53" s="130">
        <v>3132</v>
      </c>
      <c r="E53" s="139" t="s">
        <v>93</v>
      </c>
      <c r="F53" s="125">
        <v>62999.75</v>
      </c>
      <c r="G53" s="125">
        <v>62999.75</v>
      </c>
      <c r="H53" s="125">
        <v>35750.93</v>
      </c>
      <c r="I53" s="126"/>
    </row>
    <row r="54" spans="2:9" s="42" customFormat="1" ht="30" customHeight="1" x14ac:dyDescent="0.2">
      <c r="B54" s="130"/>
      <c r="C54" s="130"/>
      <c r="D54" s="130">
        <v>3133</v>
      </c>
      <c r="E54" s="139" t="s">
        <v>94</v>
      </c>
      <c r="F54" s="125">
        <v>15</v>
      </c>
      <c r="G54" s="125">
        <v>15</v>
      </c>
      <c r="H54" s="125">
        <v>11.82</v>
      </c>
      <c r="I54" s="126"/>
    </row>
    <row r="55" spans="2:9" s="42" customFormat="1" ht="30" customHeight="1" x14ac:dyDescent="0.2">
      <c r="B55" s="130"/>
      <c r="C55" s="130">
        <v>32</v>
      </c>
      <c r="D55" s="130"/>
      <c r="E55" s="139" t="s">
        <v>13</v>
      </c>
      <c r="F55" s="125">
        <f>SUM(F56:F63)</f>
        <v>50191.87</v>
      </c>
      <c r="G55" s="125">
        <f>SUM(G56:G63)</f>
        <v>50191.87</v>
      </c>
      <c r="H55" s="125">
        <f>SUM(H56:H63)</f>
        <v>25658.69</v>
      </c>
      <c r="I55" s="127">
        <f t="shared" si="0"/>
        <v>51</v>
      </c>
    </row>
    <row r="56" spans="2:9" s="42" customFormat="1" ht="30" customHeight="1" x14ac:dyDescent="0.2">
      <c r="B56" s="130"/>
      <c r="C56" s="130"/>
      <c r="D56" s="130">
        <v>3212</v>
      </c>
      <c r="E56" s="139" t="s">
        <v>95</v>
      </c>
      <c r="F56" s="125">
        <v>46291.87</v>
      </c>
      <c r="G56" s="125">
        <v>46291.87</v>
      </c>
      <c r="H56" s="125">
        <v>22514.240000000002</v>
      </c>
      <c r="I56" s="126"/>
    </row>
    <row r="57" spans="2:9" s="42" customFormat="1" ht="30" customHeight="1" x14ac:dyDescent="0.2">
      <c r="B57" s="130"/>
      <c r="C57" s="130"/>
      <c r="D57" s="130">
        <v>3214</v>
      </c>
      <c r="E57" s="139" t="s">
        <v>97</v>
      </c>
      <c r="F57" s="125">
        <v>200</v>
      </c>
      <c r="G57" s="125">
        <v>200</v>
      </c>
      <c r="H57" s="125">
        <v>479.36</v>
      </c>
      <c r="I57" s="126"/>
    </row>
    <row r="58" spans="2:9" s="42" customFormat="1" ht="30" customHeight="1" x14ac:dyDescent="0.2">
      <c r="B58" s="130"/>
      <c r="C58" s="130"/>
      <c r="D58" s="130">
        <v>3211</v>
      </c>
      <c r="E58" s="139" t="s">
        <v>99</v>
      </c>
      <c r="F58" s="125">
        <v>2300</v>
      </c>
      <c r="G58" s="125">
        <v>2300</v>
      </c>
      <c r="H58" s="125">
        <v>345.51</v>
      </c>
      <c r="I58" s="126"/>
    </row>
    <row r="59" spans="2:9" s="42" customFormat="1" ht="30" customHeight="1" x14ac:dyDescent="0.2">
      <c r="B59" s="130"/>
      <c r="C59" s="130"/>
      <c r="D59" s="130">
        <v>3231</v>
      </c>
      <c r="E59" s="140" t="s">
        <v>173</v>
      </c>
      <c r="F59" s="125"/>
      <c r="G59" s="125"/>
      <c r="H59" s="125">
        <v>414.5</v>
      </c>
      <c r="I59" s="126"/>
    </row>
    <row r="60" spans="2:9" s="42" customFormat="1" ht="30" customHeight="1" x14ac:dyDescent="0.2">
      <c r="B60" s="130"/>
      <c r="C60" s="130"/>
      <c r="D60" s="130">
        <v>3223</v>
      </c>
      <c r="E60" s="139" t="s">
        <v>101</v>
      </c>
      <c r="F60" s="125">
        <v>300</v>
      </c>
      <c r="G60" s="125">
        <v>300</v>
      </c>
      <c r="H60" s="125">
        <v>448.02</v>
      </c>
      <c r="I60" s="126"/>
    </row>
    <row r="61" spans="2:9" s="42" customFormat="1" ht="30" customHeight="1" x14ac:dyDescent="0.2">
      <c r="B61" s="130"/>
      <c r="C61" s="130"/>
      <c r="D61" s="130">
        <v>3236</v>
      </c>
      <c r="E61" s="139" t="s">
        <v>109</v>
      </c>
      <c r="F61" s="125">
        <v>50</v>
      </c>
      <c r="G61" s="125">
        <v>50</v>
      </c>
      <c r="H61" s="125">
        <v>43.8</v>
      </c>
      <c r="I61" s="126"/>
    </row>
    <row r="62" spans="2:9" s="42" customFormat="1" ht="30" customHeight="1" x14ac:dyDescent="0.2">
      <c r="B62" s="130"/>
      <c r="C62" s="130"/>
      <c r="D62" s="130">
        <v>3295</v>
      </c>
      <c r="E62" s="139" t="s">
        <v>117</v>
      </c>
      <c r="F62" s="125">
        <v>450</v>
      </c>
      <c r="G62" s="125">
        <v>450</v>
      </c>
      <c r="H62" s="125">
        <v>824.43</v>
      </c>
      <c r="I62" s="126"/>
    </row>
    <row r="63" spans="2:9" s="42" customFormat="1" ht="30" customHeight="1" x14ac:dyDescent="0.2">
      <c r="B63" s="130"/>
      <c r="C63" s="130"/>
      <c r="D63" s="130">
        <v>3296</v>
      </c>
      <c r="E63" s="139" t="s">
        <v>118</v>
      </c>
      <c r="F63" s="125">
        <v>600</v>
      </c>
      <c r="G63" s="125">
        <v>600</v>
      </c>
      <c r="H63" s="125">
        <v>588.83000000000004</v>
      </c>
      <c r="I63" s="126"/>
    </row>
    <row r="64" spans="2:9" s="42" customFormat="1" ht="30" customHeight="1" x14ac:dyDescent="0.2">
      <c r="B64" s="130"/>
      <c r="C64" s="130">
        <v>34</v>
      </c>
      <c r="D64" s="130"/>
      <c r="E64" s="139" t="s">
        <v>121</v>
      </c>
      <c r="F64" s="125">
        <v>2000</v>
      </c>
      <c r="G64" s="125">
        <v>2000</v>
      </c>
      <c r="H64" s="125">
        <v>298.07</v>
      </c>
      <c r="I64" s="127">
        <f t="shared" si="0"/>
        <v>15</v>
      </c>
    </row>
    <row r="65" spans="2:9" s="42" customFormat="1" ht="30" customHeight="1" x14ac:dyDescent="0.2">
      <c r="B65" s="130"/>
      <c r="C65" s="130"/>
      <c r="D65" s="130">
        <v>3433</v>
      </c>
      <c r="E65" s="139" t="s">
        <v>122</v>
      </c>
      <c r="F65" s="125">
        <v>2000</v>
      </c>
      <c r="G65" s="125">
        <v>2000</v>
      </c>
      <c r="H65" s="125">
        <f>298.07+888.53</f>
        <v>1186.5999999999999</v>
      </c>
      <c r="I65" s="126"/>
    </row>
    <row r="66" spans="2:9" s="42" customFormat="1" ht="30" customHeight="1" x14ac:dyDescent="0.2">
      <c r="B66" s="130"/>
      <c r="C66" s="130">
        <v>37</v>
      </c>
      <c r="D66" s="130"/>
      <c r="E66" s="140" t="s">
        <v>171</v>
      </c>
      <c r="F66" s="125"/>
      <c r="G66" s="125"/>
      <c r="H66" s="125">
        <v>1985.55</v>
      </c>
      <c r="I66" s="127" t="e">
        <f t="shared" si="0"/>
        <v>#DIV/0!</v>
      </c>
    </row>
    <row r="67" spans="2:9" s="42" customFormat="1" ht="30" customHeight="1" x14ac:dyDescent="0.2">
      <c r="B67" s="130"/>
      <c r="C67" s="130"/>
      <c r="D67" s="130">
        <v>3722</v>
      </c>
      <c r="E67" s="140" t="s">
        <v>172</v>
      </c>
      <c r="F67" s="125"/>
      <c r="G67" s="125"/>
      <c r="H67" s="125">
        <v>1985.55</v>
      </c>
      <c r="I67" s="126"/>
    </row>
    <row r="68" spans="2:9" s="42" customFormat="1" ht="30" customHeight="1" x14ac:dyDescent="0.2">
      <c r="B68" s="130"/>
      <c r="C68" s="130" t="s">
        <v>164</v>
      </c>
      <c r="D68" s="130"/>
      <c r="E68" s="139" t="s">
        <v>165</v>
      </c>
      <c r="F68" s="125">
        <v>10600</v>
      </c>
      <c r="G68" s="125">
        <v>10600</v>
      </c>
      <c r="H68" s="125">
        <v>0</v>
      </c>
      <c r="I68" s="127">
        <f t="shared" si="0"/>
        <v>0</v>
      </c>
    </row>
    <row r="69" spans="2:9" s="42" customFormat="1" ht="30" customHeight="1" x14ac:dyDescent="0.2">
      <c r="B69" s="130">
        <v>52</v>
      </c>
      <c r="C69" s="130"/>
      <c r="D69" s="130"/>
      <c r="E69" s="139" t="s">
        <v>168</v>
      </c>
      <c r="F69" s="125">
        <v>10600</v>
      </c>
      <c r="G69" s="125">
        <v>10600</v>
      </c>
      <c r="H69" s="125">
        <v>0</v>
      </c>
      <c r="I69" s="127">
        <f t="shared" si="0"/>
        <v>0</v>
      </c>
    </row>
    <row r="70" spans="2:9" s="42" customFormat="1" ht="30" customHeight="1" x14ac:dyDescent="0.2">
      <c r="B70" s="130"/>
      <c r="C70" s="130">
        <v>37</v>
      </c>
      <c r="D70" s="130"/>
      <c r="E70" s="139" t="s">
        <v>126</v>
      </c>
      <c r="F70" s="125">
        <v>4800</v>
      </c>
      <c r="G70" s="125">
        <v>4800</v>
      </c>
      <c r="H70" s="125">
        <v>0</v>
      </c>
      <c r="I70" s="127">
        <f t="shared" si="0"/>
        <v>0</v>
      </c>
    </row>
    <row r="71" spans="2:9" s="42" customFormat="1" ht="30" customHeight="1" x14ac:dyDescent="0.2">
      <c r="B71" s="130"/>
      <c r="C71" s="130"/>
      <c r="D71" s="130">
        <v>3722</v>
      </c>
      <c r="E71" s="139" t="s">
        <v>123</v>
      </c>
      <c r="F71" s="125">
        <v>4800</v>
      </c>
      <c r="G71" s="125">
        <v>4800</v>
      </c>
      <c r="H71" s="125">
        <v>0</v>
      </c>
      <c r="I71" s="126"/>
    </row>
    <row r="72" spans="2:9" s="42" customFormat="1" ht="30" customHeight="1" x14ac:dyDescent="0.2">
      <c r="B72" s="130">
        <v>4</v>
      </c>
      <c r="C72" s="130"/>
      <c r="D72" s="130"/>
      <c r="E72" s="139" t="s">
        <v>5</v>
      </c>
      <c r="F72" s="125">
        <v>5800</v>
      </c>
      <c r="G72" s="125">
        <v>5800</v>
      </c>
      <c r="H72" s="125">
        <v>0</v>
      </c>
      <c r="I72" s="127">
        <f t="shared" si="0"/>
        <v>0</v>
      </c>
    </row>
    <row r="73" spans="2:9" s="42" customFormat="1" ht="28.5" customHeight="1" x14ac:dyDescent="0.2">
      <c r="B73" s="130"/>
      <c r="C73" s="130">
        <v>42</v>
      </c>
      <c r="D73" s="130"/>
      <c r="E73" s="139" t="s">
        <v>155</v>
      </c>
      <c r="F73" s="125">
        <v>5800</v>
      </c>
      <c r="G73" s="125">
        <v>5800</v>
      </c>
      <c r="H73" s="125">
        <v>0</v>
      </c>
      <c r="I73" s="127">
        <f t="shared" si="0"/>
        <v>0</v>
      </c>
    </row>
    <row r="74" spans="2:9" s="42" customFormat="1" ht="28.5" customHeight="1" x14ac:dyDescent="0.2">
      <c r="B74" s="130"/>
      <c r="C74" s="130"/>
      <c r="D74" s="130">
        <v>4241</v>
      </c>
      <c r="E74" s="139" t="s">
        <v>127</v>
      </c>
      <c r="F74" s="125">
        <v>5800</v>
      </c>
      <c r="G74" s="125">
        <v>5800</v>
      </c>
      <c r="H74" s="125">
        <v>0</v>
      </c>
      <c r="I74" s="126"/>
    </row>
    <row r="75" spans="2:9" s="42" customFormat="1" ht="28.5" customHeight="1" x14ac:dyDescent="0.2">
      <c r="B75" s="130"/>
      <c r="C75" s="130" t="s">
        <v>167</v>
      </c>
      <c r="D75" s="130"/>
      <c r="E75" s="139" t="s">
        <v>166</v>
      </c>
      <c r="F75" s="125">
        <v>15657.67</v>
      </c>
      <c r="G75" s="125">
        <v>15657.67</v>
      </c>
      <c r="H75" s="125">
        <v>0</v>
      </c>
      <c r="I75" s="127">
        <f t="shared" ref="I75:I91" si="1">H75/G75*100</f>
        <v>0</v>
      </c>
    </row>
    <row r="76" spans="2:9" s="42" customFormat="1" ht="28.5" customHeight="1" x14ac:dyDescent="0.2">
      <c r="B76" s="141"/>
      <c r="C76" s="130"/>
      <c r="D76" s="130">
        <v>3222</v>
      </c>
      <c r="E76" s="139" t="s">
        <v>100</v>
      </c>
      <c r="F76" s="125">
        <v>15657.67</v>
      </c>
      <c r="G76" s="125">
        <v>15657.67</v>
      </c>
      <c r="H76" s="125">
        <v>4024.87</v>
      </c>
      <c r="I76" s="126"/>
    </row>
    <row r="77" spans="2:9" s="42" customFormat="1" ht="28.5" customHeight="1" x14ac:dyDescent="0.25">
      <c r="B77" s="130" t="s">
        <v>151</v>
      </c>
      <c r="C77" s="130">
        <v>100100</v>
      </c>
      <c r="D77" s="130"/>
      <c r="E77" s="130" t="s">
        <v>159</v>
      </c>
      <c r="F77" s="125">
        <v>3000</v>
      </c>
      <c r="G77" s="125">
        <v>3000</v>
      </c>
      <c r="H77" s="125">
        <v>1765.65</v>
      </c>
      <c r="I77" s="127">
        <f t="shared" si="1"/>
        <v>59</v>
      </c>
    </row>
    <row r="78" spans="2:9" s="42" customFormat="1" ht="28.5" customHeight="1" x14ac:dyDescent="0.25">
      <c r="B78" s="136" t="s">
        <v>158</v>
      </c>
      <c r="C78" s="136"/>
      <c r="D78" s="136"/>
      <c r="E78" s="130" t="s">
        <v>159</v>
      </c>
      <c r="F78" s="125">
        <v>3000</v>
      </c>
      <c r="G78" s="125">
        <v>3000</v>
      </c>
      <c r="H78" s="125">
        <v>1765.65</v>
      </c>
      <c r="I78" s="127">
        <f t="shared" si="1"/>
        <v>59</v>
      </c>
    </row>
    <row r="79" spans="2:9" s="42" customFormat="1" ht="28.5" customHeight="1" x14ac:dyDescent="0.25">
      <c r="B79" s="136">
        <v>31</v>
      </c>
      <c r="C79" s="136"/>
      <c r="D79" s="136"/>
      <c r="E79" s="130" t="s">
        <v>160</v>
      </c>
      <c r="F79" s="125">
        <v>3000</v>
      </c>
      <c r="G79" s="125">
        <v>3000</v>
      </c>
      <c r="H79" s="125">
        <v>1765.65</v>
      </c>
      <c r="I79" s="127">
        <f t="shared" si="1"/>
        <v>59</v>
      </c>
    </row>
    <row r="80" spans="2:9" s="42" customFormat="1" ht="30" customHeight="1" x14ac:dyDescent="0.2">
      <c r="B80" s="130"/>
      <c r="C80" s="130">
        <v>32</v>
      </c>
      <c r="D80" s="130"/>
      <c r="E80" s="139" t="s">
        <v>13</v>
      </c>
      <c r="F80" s="125">
        <f>SUM(F81:F84)</f>
        <v>3000</v>
      </c>
      <c r="G80" s="125">
        <f>SUM(G81:G84)</f>
        <v>3000</v>
      </c>
      <c r="H80" s="125">
        <f>SUM(H81:H86)</f>
        <v>1765.65</v>
      </c>
      <c r="I80" s="127">
        <f t="shared" si="1"/>
        <v>59</v>
      </c>
    </row>
    <row r="81" spans="2:9" s="42" customFormat="1" ht="30" customHeight="1" x14ac:dyDescent="0.2">
      <c r="B81" s="130"/>
      <c r="C81" s="130"/>
      <c r="D81" s="130">
        <v>3223</v>
      </c>
      <c r="E81" s="139" t="s">
        <v>101</v>
      </c>
      <c r="F81" s="125">
        <v>1316.51</v>
      </c>
      <c r="G81" s="125">
        <v>1316.51</v>
      </c>
      <c r="H81" s="125">
        <v>924.39</v>
      </c>
      <c r="I81" s="126"/>
    </row>
    <row r="82" spans="2:9" s="42" customFormat="1" ht="30" customHeight="1" x14ac:dyDescent="0.2">
      <c r="B82" s="130"/>
      <c r="C82" s="130"/>
      <c r="D82" s="130">
        <v>3231</v>
      </c>
      <c r="E82" s="139" t="s">
        <v>105</v>
      </c>
      <c r="F82" s="125">
        <v>791.56</v>
      </c>
      <c r="G82" s="125">
        <v>791.56</v>
      </c>
      <c r="H82" s="125">
        <v>0</v>
      </c>
      <c r="I82" s="126"/>
    </row>
    <row r="83" spans="2:9" s="42" customFormat="1" ht="30" customHeight="1" x14ac:dyDescent="0.2">
      <c r="B83" s="130"/>
      <c r="C83" s="130"/>
      <c r="D83" s="130">
        <v>3234</v>
      </c>
      <c r="E83" s="139" t="s">
        <v>108</v>
      </c>
      <c r="F83" s="125"/>
      <c r="G83" s="125"/>
      <c r="H83" s="125">
        <v>76.64</v>
      </c>
      <c r="I83" s="126"/>
    </row>
    <row r="84" spans="2:9" s="42" customFormat="1" ht="30" customHeight="1" x14ac:dyDescent="0.2">
      <c r="B84" s="130"/>
      <c r="C84" s="130"/>
      <c r="D84" s="130">
        <v>3237</v>
      </c>
      <c r="E84" s="139" t="s">
        <v>110</v>
      </c>
      <c r="F84" s="125">
        <v>891.93</v>
      </c>
      <c r="G84" s="125">
        <v>891.93</v>
      </c>
      <c r="H84" s="125">
        <v>731.35</v>
      </c>
      <c r="I84" s="126"/>
    </row>
    <row r="85" spans="2:9" s="42" customFormat="1" ht="30" customHeight="1" x14ac:dyDescent="0.2">
      <c r="B85" s="130"/>
      <c r="C85" s="130"/>
      <c r="D85" s="130">
        <v>3294</v>
      </c>
      <c r="E85" s="140" t="s">
        <v>169</v>
      </c>
      <c r="F85" s="125">
        <v>0</v>
      </c>
      <c r="G85" s="125">
        <v>0</v>
      </c>
      <c r="H85" s="125">
        <v>13.27</v>
      </c>
      <c r="I85" s="126"/>
    </row>
    <row r="86" spans="2:9" s="42" customFormat="1" ht="30" customHeight="1" x14ac:dyDescent="0.2">
      <c r="B86" s="130"/>
      <c r="C86" s="130"/>
      <c r="D86" s="130">
        <v>3811</v>
      </c>
      <c r="E86" s="140" t="s">
        <v>170</v>
      </c>
      <c r="F86" s="125">
        <v>0</v>
      </c>
      <c r="G86" s="125">
        <v>0</v>
      </c>
      <c r="H86" s="125">
        <v>20</v>
      </c>
      <c r="I86" s="126"/>
    </row>
    <row r="87" spans="2:9" s="42" customFormat="1" ht="30" customHeight="1" x14ac:dyDescent="0.2">
      <c r="B87" s="130" t="s">
        <v>151</v>
      </c>
      <c r="C87" s="130">
        <v>430100</v>
      </c>
      <c r="D87" s="130"/>
      <c r="E87" s="139" t="s">
        <v>162</v>
      </c>
      <c r="F87" s="125">
        <v>5000</v>
      </c>
      <c r="G87" s="125">
        <v>5000</v>
      </c>
      <c r="H87" s="125">
        <v>102.54</v>
      </c>
      <c r="I87" s="127">
        <f t="shared" si="1"/>
        <v>2</v>
      </c>
    </row>
    <row r="88" spans="2:9" s="42" customFormat="1" ht="30" customHeight="1" x14ac:dyDescent="0.2">
      <c r="B88" s="136" t="s">
        <v>161</v>
      </c>
      <c r="C88" s="136"/>
      <c r="D88" s="136"/>
      <c r="E88" s="139" t="s">
        <v>162</v>
      </c>
      <c r="F88" s="125">
        <v>5000</v>
      </c>
      <c r="G88" s="125">
        <v>5000</v>
      </c>
      <c r="H88" s="125">
        <v>102.54</v>
      </c>
      <c r="I88" s="127">
        <f t="shared" si="1"/>
        <v>2</v>
      </c>
    </row>
    <row r="89" spans="2:9" s="42" customFormat="1" ht="30" customHeight="1" x14ac:dyDescent="0.2">
      <c r="B89" s="136">
        <v>43</v>
      </c>
      <c r="C89" s="136"/>
      <c r="D89" s="136"/>
      <c r="E89" s="139" t="s">
        <v>163</v>
      </c>
      <c r="F89" s="125">
        <v>5000</v>
      </c>
      <c r="G89" s="125">
        <v>5000</v>
      </c>
      <c r="H89" s="125">
        <v>102.54</v>
      </c>
      <c r="I89" s="127">
        <f t="shared" si="1"/>
        <v>2</v>
      </c>
    </row>
    <row r="90" spans="2:9" s="42" customFormat="1" ht="30" customHeight="1" x14ac:dyDescent="0.2">
      <c r="B90" s="130"/>
      <c r="C90" s="130">
        <v>32</v>
      </c>
      <c r="D90" s="130"/>
      <c r="E90" s="139" t="s">
        <v>13</v>
      </c>
      <c r="F90" s="125">
        <v>5000</v>
      </c>
      <c r="G90" s="125">
        <v>5000</v>
      </c>
      <c r="H90" s="125">
        <v>102.54</v>
      </c>
      <c r="I90" s="127">
        <f t="shared" si="1"/>
        <v>2</v>
      </c>
    </row>
    <row r="91" spans="2:9" s="42" customFormat="1" ht="30" customHeight="1" x14ac:dyDescent="0.2">
      <c r="B91" s="130"/>
      <c r="C91" s="130"/>
      <c r="D91" s="130">
        <v>3222</v>
      </c>
      <c r="E91" s="139" t="s">
        <v>100</v>
      </c>
      <c r="F91" s="125">
        <v>5000</v>
      </c>
      <c r="G91" s="125">
        <v>5000</v>
      </c>
      <c r="H91" s="125">
        <v>102.54</v>
      </c>
      <c r="I91" s="127">
        <f t="shared" si="1"/>
        <v>2</v>
      </c>
    </row>
  </sheetData>
  <mergeCells count="15">
    <mergeCell ref="B2:I2"/>
    <mergeCell ref="B17:D17"/>
    <mergeCell ref="B20:D20"/>
    <mergeCell ref="B4:I4"/>
    <mergeCell ref="B6:E6"/>
    <mergeCell ref="B7:E7"/>
    <mergeCell ref="B8:D8"/>
    <mergeCell ref="B9:D9"/>
    <mergeCell ref="B19:D19"/>
    <mergeCell ref="B46:D46"/>
    <mergeCell ref="B47:D47"/>
    <mergeCell ref="B78:D78"/>
    <mergeCell ref="B79:D79"/>
    <mergeCell ref="B88:D88"/>
    <mergeCell ref="B89:D89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Č</cp:lastModifiedBy>
  <cp:lastPrinted>2023-07-27T09:02:52Z</cp:lastPrinted>
  <dcterms:created xsi:type="dcterms:W3CDTF">2022-08-12T12:51:27Z</dcterms:created>
  <dcterms:modified xsi:type="dcterms:W3CDTF">2023-07-27T11:28:44Z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